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160" windowHeight="11020" tabRatio="850" activeTab="3"/>
  </bookViews>
  <sheets>
    <sheet name="Quarterly Statement" sheetId="51" r:id="rId1"/>
    <sheet name="Top Level" sheetId="40" r:id="rId2"/>
    <sheet name="Data Entry" sheetId="47" r:id="rId3"/>
    <sheet name="Bank Accounts" sheetId="2" r:id="rId4"/>
    <sheet name="Chart of Accounts" sheetId="36" r:id="rId5"/>
    <sheet name="Home Show-Blank" sheetId="81" state="hidden" r:id="rId6"/>
    <sheet name="Home Show-Raffle Tickets" sheetId="75" state="hidden" r:id="rId7"/>
    <sheet name="Home Show-Admission Tickets" sheetId="76" state="hidden" r:id="rId8"/>
    <sheet name="Home Show-Program Books" sheetId="77" state="hidden" r:id="rId9"/>
    <sheet name="Home Show-5050 Raffle" sheetId="78" state="hidden" r:id="rId10"/>
    <sheet name="Home Show-Concessions" sheetId="79" state="hidden" r:id="rId11"/>
    <sheet name="Home Show-Merchandise" sheetId="80" state="hidden" r:id="rId12"/>
  </sheets>
  <definedNames>
    <definedName name="_xlnm._FilterDatabase" localSheetId="2" hidden="1">'Data Entry'!$B$4:$J$36</definedName>
    <definedName name="Accounts">'Chart of Accounts'!$B$4:$C$19</definedName>
    <definedName name="BankAccounts">'Bank Accounts'!$B$5:$O$18</definedName>
    <definedName name="BegPrincipal">'Top Level'!$E$9</definedName>
    <definedName name="Chart">'Chart of Accounts'!$B$4:$D$17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Titles" localSheetId="2">'Data Entry'!$1:$4</definedName>
    <definedName name="Reserve">'Top Level'!$E$11</definedName>
    <definedName name="rptbanknum">OFFSET('Data Entry'!$D$5,0,0,COUNT('Data Entry'!$D:$D),1)</definedName>
    <definedName name="RptMonths">OFFSET('Data Entry'!$C$5,0,0,COUNT('Data Entry'!$C:$C),1)</definedName>
    <definedName name="SumAccount">'Data Entry'!$F$5:$F$37</definedName>
    <definedName name="SumBank">'Data Entry'!$D$5:$D$37</definedName>
    <definedName name="SumExp">'Data Entry'!$I$5:$I$37</definedName>
    <definedName name="SumMonth">'Data Entry'!$B$5:$B$37</definedName>
    <definedName name="SumMonthNum">'Data Entry'!$C$5:$C$37</definedName>
    <definedName name="SumRevenue">'Data Entry'!$H$5:$H$37</definedName>
  </definedNames>
  <calcPr calcId="124519"/>
</workbook>
</file>

<file path=xl/calcChain.xml><?xml version="1.0" encoding="utf-8"?>
<calcChain xmlns="http://schemas.openxmlformats.org/spreadsheetml/2006/main">
  <c r="E27" i="2"/>
  <c r="E23"/>
  <c r="C23"/>
  <c r="H5" i="47"/>
  <c r="H7"/>
  <c r="G7"/>
  <c r="E7"/>
  <c r="C7"/>
  <c r="H8"/>
  <c r="G8"/>
  <c r="E8"/>
  <c r="C8"/>
  <c r="H9"/>
  <c r="G9"/>
  <c r="E9"/>
  <c r="C9"/>
  <c r="C25" i="51"/>
  <c r="C17"/>
  <c r="F16"/>
  <c r="F17" s="1"/>
  <c r="H16"/>
  <c r="H17" s="1"/>
  <c r="H18" s="1"/>
  <c r="J16"/>
  <c r="N4" i="2"/>
  <c r="M4"/>
  <c r="C31" i="51"/>
  <c r="A3"/>
  <c r="C39"/>
  <c r="C32"/>
  <c r="C30"/>
  <c r="K23"/>
  <c r="C26"/>
  <c r="C24"/>
  <c r="C6" i="47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5"/>
  <c r="I7" i="36"/>
  <c r="A17" i="2" s="1"/>
  <c r="N17" s="1"/>
  <c r="H7" i="36"/>
  <c r="A16" i="2" s="1"/>
  <c r="N16" s="1"/>
  <c r="G7" i="36"/>
  <c r="A15" i="2" s="1"/>
  <c r="N15" s="1"/>
  <c r="I6" i="36"/>
  <c r="A14" i="2" s="1"/>
  <c r="N14" s="1"/>
  <c r="H6" i="36"/>
  <c r="A13" i="2" s="1"/>
  <c r="N13" s="1"/>
  <c r="G6" i="36"/>
  <c r="A12" i="2" s="1"/>
  <c r="N12" s="1"/>
  <c r="I5" i="36"/>
  <c r="A11" i="2" s="1"/>
  <c r="N11" s="1"/>
  <c r="H5" i="36"/>
  <c r="A10" i="2" s="1"/>
  <c r="N10" s="1"/>
  <c r="G5" i="36"/>
  <c r="A9" i="2" s="1"/>
  <c r="N9" s="1"/>
  <c r="I4" i="36"/>
  <c r="A8" i="2" s="1"/>
  <c r="N8" s="1"/>
  <c r="H4" i="36"/>
  <c r="A7" i="2" s="1"/>
  <c r="N7" s="1"/>
  <c r="G4" i="36"/>
  <c r="A6" i="2" s="1"/>
  <c r="M6" s="1"/>
  <c r="I3"/>
  <c r="F3"/>
  <c r="C3"/>
  <c r="K6" i="51" l="1"/>
  <c r="M17" i="2"/>
  <c r="M15"/>
  <c r="M13"/>
  <c r="M11"/>
  <c r="M9"/>
  <c r="M7"/>
  <c r="N6"/>
  <c r="O6" s="1"/>
  <c r="M16"/>
  <c r="M14"/>
  <c r="M12"/>
  <c r="M10"/>
  <c r="M8"/>
  <c r="J17" i="51"/>
  <c r="J18" s="1"/>
  <c r="F18"/>
  <c r="G6"/>
  <c r="I6"/>
  <c r="E23"/>
  <c r="E25" s="1"/>
  <c r="C6" i="2"/>
  <c r="K11" i="51"/>
  <c r="I11"/>
  <c r="I23"/>
  <c r="G11"/>
  <c r="G23"/>
  <c r="C6" i="40"/>
  <c r="G24" i="51" l="1"/>
  <c r="G25"/>
  <c r="I39"/>
  <c r="I25"/>
  <c r="I24"/>
  <c r="M18" i="2"/>
  <c r="G26" i="51"/>
  <c r="G32"/>
  <c r="O7" i="2"/>
  <c r="E32" i="51"/>
  <c r="E31"/>
  <c r="G30"/>
  <c r="G31"/>
  <c r="I30"/>
  <c r="I31"/>
  <c r="E39"/>
  <c r="E24"/>
  <c r="G39"/>
  <c r="E26"/>
  <c r="E30"/>
  <c r="I26"/>
  <c r="N18" i="2"/>
  <c r="I32" i="51"/>
  <c r="K24" l="1"/>
  <c r="K25"/>
  <c r="O8" i="2"/>
  <c r="K32" i="51"/>
  <c r="K31"/>
  <c r="K30"/>
  <c r="K26"/>
  <c r="O9" i="2" l="1"/>
  <c r="O10" l="1"/>
  <c r="O11" l="1"/>
  <c r="O12" l="1"/>
  <c r="O13" l="1"/>
  <c r="O14" l="1"/>
  <c r="E15" i="51" s="1"/>
  <c r="O15" i="2" l="1"/>
  <c r="O16" l="1"/>
  <c r="G15" i="51"/>
  <c r="O17" i="2" l="1"/>
  <c r="I15" i="51"/>
  <c r="O18" i="2" l="1"/>
  <c r="K15" i="51"/>
  <c r="G10" i="47" l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6"/>
  <c r="E5"/>
  <c r="C8" i="51"/>
  <c r="C9"/>
  <c r="C7"/>
  <c r="G16" i="2" l="1"/>
  <c r="I16"/>
  <c r="D16"/>
  <c r="C16"/>
  <c r="J16"/>
  <c r="F16"/>
  <c r="G8"/>
  <c r="I8"/>
  <c r="D8"/>
  <c r="J8"/>
  <c r="C8"/>
  <c r="F8"/>
  <c r="J13"/>
  <c r="C13"/>
  <c r="F13"/>
  <c r="G13"/>
  <c r="I13"/>
  <c r="D13"/>
  <c r="G12"/>
  <c r="I12"/>
  <c r="D12"/>
  <c r="J12"/>
  <c r="C12"/>
  <c r="F12"/>
  <c r="J17"/>
  <c r="C17"/>
  <c r="F17"/>
  <c r="G17"/>
  <c r="I17"/>
  <c r="D17"/>
  <c r="J9"/>
  <c r="C9"/>
  <c r="F9"/>
  <c r="G9"/>
  <c r="I9"/>
  <c r="D9"/>
  <c r="G14"/>
  <c r="I14"/>
  <c r="D14"/>
  <c r="J14"/>
  <c r="C14"/>
  <c r="F14"/>
  <c r="G10"/>
  <c r="I10"/>
  <c r="D10"/>
  <c r="J10"/>
  <c r="C10"/>
  <c r="F10"/>
  <c r="J15"/>
  <c r="C15"/>
  <c r="F15"/>
  <c r="G15"/>
  <c r="I15"/>
  <c r="D15"/>
  <c r="J11"/>
  <c r="C11"/>
  <c r="F11"/>
  <c r="G11"/>
  <c r="I11"/>
  <c r="D11"/>
  <c r="J7"/>
  <c r="C7"/>
  <c r="F7"/>
  <c r="G7"/>
  <c r="I7"/>
  <c r="D7"/>
  <c r="I6"/>
  <c r="F6"/>
  <c r="J6"/>
  <c r="G6"/>
  <c r="D6"/>
  <c r="A9" i="8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80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E8" i="7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9" i="78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7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0" i="76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22" i="75"/>
  <c r="A23" s="1"/>
  <c r="A24" s="1"/>
  <c r="A25" s="1"/>
  <c r="A26" s="1"/>
  <c r="A27" s="1"/>
  <c r="A2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J18" i="2" l="1"/>
  <c r="G18"/>
  <c r="F18"/>
  <c r="H6"/>
  <c r="I18"/>
  <c r="K6"/>
  <c r="I38" i="47"/>
  <c r="K7" i="2" l="1"/>
  <c r="H7"/>
  <c r="K8" l="1"/>
  <c r="H8"/>
  <c r="H38" i="47"/>
  <c r="K9" i="2" l="1"/>
  <c r="K10" s="1"/>
  <c r="K11" s="1"/>
  <c r="H9"/>
  <c r="H10" s="1"/>
  <c r="H11" s="1"/>
  <c r="G5" i="47"/>
  <c r="G6"/>
  <c r="K12" i="2" l="1"/>
  <c r="H12"/>
  <c r="C18"/>
  <c r="D18"/>
  <c r="E6"/>
  <c r="H13" l="1"/>
  <c r="K13"/>
  <c r="E7"/>
  <c r="H14" l="1"/>
  <c r="E8" i="51" s="1"/>
  <c r="K14" i="2"/>
  <c r="E9" i="51" s="1"/>
  <c r="E8" i="2"/>
  <c r="I33" i="51"/>
  <c r="I27"/>
  <c r="K33"/>
  <c r="G33"/>
  <c r="K15" i="2" l="1"/>
  <c r="H15"/>
  <c r="E9"/>
  <c r="E10" s="1"/>
  <c r="E11" s="1"/>
  <c r="I35" i="51"/>
  <c r="K16" i="2" l="1"/>
  <c r="G9" i="51"/>
  <c r="H16" i="2"/>
  <c r="G8" i="51"/>
  <c r="E12" i="2"/>
  <c r="H17" l="1"/>
  <c r="I8" i="51"/>
  <c r="K17" i="2"/>
  <c r="I9" i="51"/>
  <c r="E13" i="2"/>
  <c r="K18" l="1"/>
  <c r="K21" s="1"/>
  <c r="K9" i="51"/>
  <c r="H18" i="2"/>
  <c r="H21" s="1"/>
  <c r="K8" i="51"/>
  <c r="E14" i="2"/>
  <c r="E7" i="51" s="1"/>
  <c r="E33"/>
  <c r="E15" i="2" l="1"/>
  <c r="E27" i="51"/>
  <c r="K27"/>
  <c r="K35" s="1"/>
  <c r="G27"/>
  <c r="G35" s="1"/>
  <c r="E16" i="2" l="1"/>
  <c r="G7" i="51"/>
  <c r="G10" s="1"/>
  <c r="G16" s="1"/>
  <c r="G17" s="1"/>
  <c r="G18" s="1"/>
  <c r="E35"/>
  <c r="E10"/>
  <c r="E17" i="2" l="1"/>
  <c r="I7" i="51"/>
  <c r="I10" s="1"/>
  <c r="I16" s="1"/>
  <c r="I17" s="1"/>
  <c r="I18" s="1"/>
  <c r="G40"/>
  <c r="E16"/>
  <c r="E18" i="2" l="1"/>
  <c r="K7" i="51"/>
  <c r="K10" s="1"/>
  <c r="I40"/>
  <c r="E17"/>
  <c r="E18" s="1"/>
  <c r="E21" i="2" l="1"/>
  <c r="E28"/>
  <c r="K16" i="51"/>
  <c r="K17" s="1"/>
  <c r="K18" s="1"/>
  <c r="K40"/>
</calcChain>
</file>

<file path=xl/comments1.xml><?xml version="1.0" encoding="utf-8"?>
<comments xmlns="http://schemas.openxmlformats.org/spreadsheetml/2006/main">
  <authors>
    <author>Dawn Jacobson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<sst xmlns="http://schemas.openxmlformats.org/spreadsheetml/2006/main" count="179" uniqueCount="103">
  <si>
    <t>Johnson Bank - Checking</t>
  </si>
  <si>
    <t>Date</t>
  </si>
  <si>
    <t>Notes</t>
  </si>
  <si>
    <t>Balance</t>
  </si>
  <si>
    <t>Beginning Balance</t>
  </si>
  <si>
    <t>Revenue</t>
  </si>
  <si>
    <t>Expenses</t>
  </si>
  <si>
    <t>Expense</t>
  </si>
  <si>
    <t>Income</t>
  </si>
  <si>
    <t>Totals / Ending Balance</t>
  </si>
  <si>
    <t>CHART OF ACCOUNTS</t>
  </si>
  <si>
    <t>$225/Child</t>
  </si>
  <si>
    <t>$900/Child</t>
  </si>
  <si>
    <t>Year: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</si>
  <si>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</si>
  <si>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</si>
  <si>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</si>
  <si>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</si>
  <si>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</si>
  <si>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</si>
  <si>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</si>
  <si>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</si>
  <si>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</si>
  <si>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</si>
  <si>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</si>
  <si>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</si>
  <si>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</si>
  <si>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</si>
  <si>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</si>
  <si>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</si>
  <si>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</si>
  <si>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</si>
  <si>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</si>
  <si>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</si>
  <si>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</si>
  <si>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</si>
  <si>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</si>
  <si>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</si>
  <si>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</si>
  <si>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</si>
  <si>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</si>
  <si>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Fiscal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</si>
  <si>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</si>
  <si>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</si>
  <si>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</si>
  <si>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</si>
  <si>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</si>
  <si>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</si>
  <si>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</si>
  <si>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</si>
  <si>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</si>
  <si>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</si>
  <si>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</si>
  <si>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</si>
  <si>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</si>
  <si>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</si>
  <si>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Used $5.00 New $45</t>
  </si>
  <si>
    <t>Fidelity Investments</t>
  </si>
  <si>
    <t>Racine Community Foundation</t>
  </si>
  <si>
    <t>4000:  Income</t>
  </si>
  <si>
    <t>Interest</t>
  </si>
  <si>
    <t>Fund Expenses</t>
  </si>
  <si>
    <t>Bank Account</t>
  </si>
  <si>
    <t>Bank Name</t>
  </si>
  <si>
    <t>Transfer Funds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</si>
  <si>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</si>
  <si>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</si>
  <si>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</si>
  <si>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</si>
  <si>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</si>
  <si>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</si>
  <si>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</si>
  <si>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</si>
  <si>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</si>
  <si>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Months</t>
  </si>
  <si>
    <t>Principal</t>
  </si>
  <si>
    <t>Checks:</t>
  </si>
  <si>
    <t>Expense vs Change in Balance Sheet</t>
  </si>
  <si>
    <t>Lutheran Church of the Resurrection</t>
  </si>
  <si>
    <t>Endowment Fund</t>
  </si>
  <si>
    <t>PRINCIPAL</t>
  </si>
  <si>
    <t>Contributions (Principal Increase)</t>
  </si>
  <si>
    <t>Reductions to Principal</t>
  </si>
  <si>
    <t>Principal Accounting:</t>
  </si>
  <si>
    <t>% of Reserve to the Available Funds:</t>
  </si>
  <si>
    <t>Beginning Year Principal Balance:</t>
  </si>
  <si>
    <t>FUNDS AVAILABLE TO SPEND</t>
  </si>
  <si>
    <t>Quarter</t>
  </si>
  <si>
    <t>Change in Investment Value</t>
  </si>
  <si>
    <t>???</t>
  </si>
  <si>
    <t>Per Nov Investment Report</t>
  </si>
  <si>
    <t>Hospitality Center (12/20/19) Check #1137</t>
  </si>
  <si>
    <t>Cops &amp; Kids Reading (12/21/19) Check #1138</t>
  </si>
  <si>
    <t>Bethany House of Caring (12/22/19) Check #1139</t>
  </si>
  <si>
    <t>Tiny Homes-Milwaukee (12/20/19) Check #1140</t>
  </si>
  <si>
    <t>Hopes Center of Racine (12/20/19)  Check #1141</t>
  </si>
  <si>
    <t xml:space="preserve">December Stmt.  </t>
  </si>
  <si>
    <t>Outstanding Checks:</t>
  </si>
  <si>
    <t>Reconcilation</t>
  </si>
  <si>
    <t>Ending Balance</t>
  </si>
  <si>
    <t>Per December Investment Report</t>
  </si>
  <si>
    <r>
      <t xml:space="preserve">Available Funds  </t>
    </r>
    <r>
      <rPr>
        <sz val="10"/>
        <color theme="1"/>
        <rFont val="Arial"/>
        <family val="2"/>
      </rPr>
      <t>(Total Assets - Principal)</t>
    </r>
  </si>
  <si>
    <t>(Available Funds - Reserve)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</si>
</sst>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85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4" fontId="7" fillId="2" borderId="10" xfId="1" applyFont="1" applyFill="1" applyBorder="1" applyAlignment="1">
      <alignment vertical="center"/>
    </xf>
    <xf numFmtId="43" fontId="6" fillId="0" borderId="10" xfId="1" applyNumberFormat="1" applyFont="1" applyBorder="1" applyAlignment="1">
      <alignment vertical="center"/>
    </xf>
    <xf numFmtId="44" fontId="5" fillId="2" borderId="13" xfId="0" applyNumberFormat="1" applyFont="1" applyFill="1" applyBorder="1" applyAlignment="1">
      <alignment vertical="center"/>
    </xf>
    <xf numFmtId="44" fontId="5" fillId="2" borderId="14" xfId="0" applyNumberFormat="1" applyFont="1" applyFill="1" applyBorder="1" applyAlignment="1">
      <alignment vertical="center"/>
    </xf>
    <xf numFmtId="44" fontId="5" fillId="2" borderId="15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43" fontId="7" fillId="0" borderId="2" xfId="0" applyNumberFormat="1" applyFont="1" applyFill="1" applyBorder="1" applyAlignment="1">
      <alignment horizontal="center" vertical="center"/>
    </xf>
    <xf numFmtId="43" fontId="7" fillId="0" borderId="2" xfId="1" applyNumberFormat="1" applyFont="1" applyFill="1" applyBorder="1" applyAlignment="1">
      <alignment horizontal="center" vertical="center"/>
    </xf>
    <xf numFmtId="44" fontId="5" fillId="2" borderId="2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44" fontId="5" fillId="0" borderId="0" xfId="1" applyFont="1" applyFill="1" applyBorder="1" applyAlignment="1">
      <alignment vertical="center"/>
    </xf>
    <xf numFmtId="44" fontId="6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vertical="center"/>
    </xf>
    <xf numFmtId="44" fontId="6" fillId="0" borderId="0" xfId="0" applyNumberFormat="1" applyFont="1" applyFill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14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5" fillId="0" borderId="0" xfId="0" applyFont="1" applyFill="1" applyBorder="1"/>
    <xf numFmtId="0" fontId="11" fillId="0" borderId="0" xfId="0" applyFont="1" applyFill="1" applyBorder="1"/>
    <xf numFmtId="0" fontId="14" fillId="0" borderId="0" xfId="0" applyFont="1" applyFill="1" applyBorder="1"/>
    <xf numFmtId="44" fontId="12" fillId="0" borderId="0" xfId="1" applyFont="1" applyFill="1" applyBorder="1" applyAlignment="1">
      <alignment vertical="center"/>
    </xf>
    <xf numFmtId="0" fontId="15" fillId="0" borderId="0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4" fontId="7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14" fontId="16" fillId="0" borderId="3" xfId="0" applyNumberFormat="1" applyFont="1" applyBorder="1" applyAlignment="1">
      <alignment horizontal="left" vertical="center"/>
    </xf>
    <xf numFmtId="43" fontId="7" fillId="0" borderId="3" xfId="1" applyNumberFormat="1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43" fontId="16" fillId="0" borderId="12" xfId="1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4" fontId="5" fillId="0" borderId="35" xfId="0" applyNumberFormat="1" applyFont="1" applyBorder="1" applyAlignment="1">
      <alignment vertical="center"/>
    </xf>
    <xf numFmtId="44" fontId="12" fillId="0" borderId="0" xfId="1" quotePrefix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4" fontId="5" fillId="0" borderId="0" xfId="1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4" fontId="5" fillId="0" borderId="35" xfId="1" applyFont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12" fillId="0" borderId="29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40" xfId="0" applyFont="1" applyFill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18" fillId="0" borderId="0" xfId="0" applyFont="1" applyAlignment="1">
      <alignment horizontal="right" vertical="center"/>
    </xf>
    <xf numFmtId="0" fontId="23" fillId="0" borderId="16" xfId="0" applyFont="1" applyFill="1" applyBorder="1" applyAlignment="1">
      <alignment vertical="center"/>
    </xf>
    <xf numFmtId="0" fontId="23" fillId="0" borderId="38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39" xfId="0" applyFont="1" applyFill="1" applyBorder="1" applyAlignment="1">
      <alignment vertical="center"/>
    </xf>
    <xf numFmtId="44" fontId="24" fillId="0" borderId="16" xfId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44" fontId="20" fillId="0" borderId="26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quotePrefix="1" applyNumberFormat="1" applyFont="1" applyFill="1" applyBorder="1" applyAlignment="1">
      <alignment horizontal="center" vertical="center"/>
    </xf>
    <xf numFmtId="43" fontId="7" fillId="0" borderId="42" xfId="1" applyNumberFormat="1" applyFont="1" applyFill="1" applyBorder="1" applyAlignment="1">
      <alignment vertical="center"/>
    </xf>
    <xf numFmtId="44" fontId="5" fillId="0" borderId="42" xfId="0" applyNumberFormat="1" applyFont="1" applyFill="1" applyBorder="1" applyAlignment="1">
      <alignment vertical="center"/>
    </xf>
    <xf numFmtId="44" fontId="12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Fill="1" applyBorder="1" applyAlignment="1">
      <alignment horizontal="center"/>
    </xf>
    <xf numFmtId="0" fontId="5" fillId="2" borderId="10" xfId="0" applyFont="1" applyFill="1" applyBorder="1" applyAlignment="1">
      <alignment vertical="center"/>
    </xf>
    <xf numFmtId="0" fontId="7" fillId="0" borderId="0" xfId="0" applyFont="1" applyFill="1" applyBorder="1"/>
    <xf numFmtId="0" fontId="5" fillId="2" borderId="43" xfId="0" applyFont="1" applyFill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5" fillId="0" borderId="0" xfId="0" applyFont="1" applyBorder="1" applyAlignment="1"/>
    <xf numFmtId="44" fontId="6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vertical="center"/>
    </xf>
    <xf numFmtId="0" fontId="7" fillId="4" borderId="17" xfId="0" quotePrefix="1" applyNumberFormat="1" applyFont="1" applyFill="1" applyBorder="1" applyAlignment="1">
      <alignment horizontal="center" vertical="center"/>
    </xf>
    <xf numFmtId="0" fontId="7" fillId="4" borderId="18" xfId="0" quotePrefix="1" applyNumberFormat="1" applyFont="1" applyFill="1" applyBorder="1" applyAlignment="1">
      <alignment horizontal="center" vertical="center"/>
    </xf>
    <xf numFmtId="44" fontId="7" fillId="0" borderId="0" xfId="1" applyFont="1" applyAlignment="1">
      <alignment vertical="center"/>
    </xf>
    <xf numFmtId="0" fontId="7" fillId="4" borderId="16" xfId="0" quotePrefix="1" applyNumberFormat="1" applyFont="1" applyFill="1" applyBorder="1" applyAlignment="1">
      <alignment horizontal="center" vertical="center"/>
    </xf>
    <xf numFmtId="9" fontId="26" fillId="5" borderId="0" xfId="0" applyNumberFormat="1" applyFont="1" applyFill="1" applyBorder="1" applyAlignment="1">
      <alignment vertical="center"/>
    </xf>
    <xf numFmtId="9" fontId="7" fillId="0" borderId="0" xfId="0" applyNumberFormat="1" applyFont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44" fontId="5" fillId="0" borderId="26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43" fontId="6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30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3" fontId="6" fillId="0" borderId="0" xfId="0" applyNumberFormat="1" applyFont="1" applyFill="1" applyAlignment="1">
      <alignment vertical="center"/>
    </xf>
    <xf numFmtId="43" fontId="7" fillId="0" borderId="0" xfId="0" applyNumberFormat="1" applyFont="1" applyFill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229"/>
  <sheetViews>
    <sheetView showGridLines="0" topLeftCell="A20" workbookViewId="0">
      <selection activeCell="M10" sqref="M10"/>
    </sheetView>
  </sheetViews>
  <sheetFormatPr defaultRowHeight="15.5"/>
  <cols>
    <col min="1" max="1" width="2.1796875" style="22" customWidth="1"/>
    <col min="2" max="2" width="3.7265625" style="22" customWidth="1"/>
    <col min="3" max="3" width="38.1796875" style="22" customWidth="1"/>
    <col min="4" max="4" width="1.6328125" style="22" customWidth="1"/>
    <col min="5" max="5" width="14.6328125" style="22" customWidth="1"/>
    <col min="6" max="6" width="1.6328125" style="22" customWidth="1"/>
    <col min="7" max="7" width="14.6328125" style="22" customWidth="1"/>
    <col min="8" max="8" width="1.6328125" style="22" customWidth="1"/>
    <col min="9" max="9" width="14.90625" style="22" customWidth="1"/>
    <col min="10" max="10" width="1.6328125" style="22" customWidth="1"/>
    <col min="11" max="11" width="15.81640625" style="22" customWidth="1"/>
    <col min="12" max="12" width="2.1796875" style="22" customWidth="1"/>
    <col min="13" max="13" width="14.6328125" style="22" customWidth="1"/>
    <col min="14" max="14" width="17.26953125" style="22" customWidth="1"/>
    <col min="15" max="16384" width="8.7265625" style="22"/>
  </cols>
  <sheetData>
    <row r="1" spans="1:15" ht="20">
      <c r="A1" s="140" t="s">
        <v>78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5" ht="20">
      <c r="A2" s="140" t="s">
        <v>79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5" ht="20">
      <c r="A3" s="140" t="str">
        <f>VLOOKUP(CurrQtr,LKQtr,5)&amp;", "&amp;CurrentYr</f>
        <v>4th Quarter, 2019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03"/>
    </row>
    <row r="4" spans="1:15" ht="10" customHeight="1" thickBot="1">
      <c r="G4" s="20"/>
      <c r="H4" s="20"/>
      <c r="I4" s="20"/>
      <c r="J4" s="20"/>
      <c r="K4" s="20"/>
    </row>
    <row r="5" spans="1:15" ht="6.5" customHeight="1" thickTop="1">
      <c r="A5" s="28"/>
      <c r="B5" s="29"/>
      <c r="C5" s="29"/>
      <c r="D5" s="29"/>
      <c r="E5" s="29"/>
      <c r="F5" s="29"/>
      <c r="G5" s="136"/>
      <c r="H5" s="136"/>
      <c r="I5" s="136"/>
      <c r="J5" s="136"/>
      <c r="K5" s="136"/>
      <c r="L5" s="30"/>
    </row>
    <row r="6" spans="1:15" ht="46.5">
      <c r="A6" s="32"/>
      <c r="B6" s="113" t="s">
        <v>35</v>
      </c>
      <c r="E6" s="112" t="s">
        <v>68</v>
      </c>
      <c r="G6" s="112" t="str">
        <f>VLOOKUP(CurrQtr,LKQtr,2)</f>
        <v>October</v>
      </c>
      <c r="H6" s="20"/>
      <c r="I6" s="112" t="str">
        <f>VLOOKUP(CurrQtr,LKQtr,3)</f>
        <v>November</v>
      </c>
      <c r="J6" s="20"/>
      <c r="K6" s="112" t="str">
        <f>VLOOKUP(CurrQtr,LKQtr,4)&amp;"
 (Quarter End Balance)"</f>
        <v>December
 (Quarter End Balance)</v>
      </c>
      <c r="L6" s="31"/>
    </row>
    <row r="7" spans="1:15">
      <c r="A7" s="32"/>
      <c r="B7" s="106">
        <v>1000</v>
      </c>
      <c r="C7" s="20" t="str">
        <f>IF(B7="","",VLOOKUP(B7,Chart,2))</f>
        <v>Fidelity Investments</v>
      </c>
      <c r="E7" s="23">
        <f>VLOOKUP(IF(CurrQtr=1,0,IF(CurrQtr=2,3,IF(CurrQtr=3,6,9))),BankAccounts,4)</f>
        <v>157416.95000000001</v>
      </c>
      <c r="G7" s="23">
        <f>VLOOKUP(IF(CurrQtr=1,1,IF(CurrQtr=2,4,IF(CurrQtr=3,7,10))),BankAccounts,4)</f>
        <v>160473.96000000002</v>
      </c>
      <c r="H7" s="20"/>
      <c r="I7" s="23">
        <f>VLOOKUP(IF(CurrQtr=1,2,IF(CurrQtr=2,5,IF(CurrQtr=3,8,11))),BankAccounts,4)</f>
        <v>163417.74000000002</v>
      </c>
      <c r="J7" s="20"/>
      <c r="K7" s="23">
        <f>VLOOKUP(IF(CurrQtr=1,3,IF(CurrQtr=2,6,IF(CurrQtr=3,9,12))),BankAccounts,4)</f>
        <v>158395.87000000002</v>
      </c>
      <c r="L7" s="31"/>
      <c r="M7" s="24"/>
      <c r="N7" s="23"/>
      <c r="O7" s="23"/>
    </row>
    <row r="8" spans="1:15">
      <c r="A8" s="32"/>
      <c r="B8" s="106">
        <v>1010</v>
      </c>
      <c r="C8" s="20" t="str">
        <f>IF(B8="","",VLOOKUP(B8,Chart,2))</f>
        <v>Johnson Bank - Checking</v>
      </c>
      <c r="E8" s="23">
        <f>VLOOKUP(IF(CurrQtr=1,0,IF(CurrQtr=2,3,IF(CurrQtr=3,6,9))),BankAccounts,7)</f>
        <v>3736.25</v>
      </c>
      <c r="G8" s="23">
        <f>VLOOKUP(IF(CurrQtr=1,1,IF(CurrQtr=2,4,IF(CurrQtr=3,7,10))),BankAccounts,7)</f>
        <v>3736.25</v>
      </c>
      <c r="H8" s="20"/>
      <c r="I8" s="23">
        <f>VLOOKUP(IF(CurrQtr=1,2,IF(CurrQtr=2,5,IF(CurrQtr=3,8,11))),BankAccounts,7)</f>
        <v>3736.25</v>
      </c>
      <c r="J8" s="20"/>
      <c r="K8" s="23">
        <f>VLOOKUP(IF(CurrQtr=1,3,IF(CurrQtr=2,6,IF(CurrQtr=3,9,12))),BankAccounts,7)</f>
        <v>3736.25</v>
      </c>
      <c r="L8" s="31"/>
    </row>
    <row r="9" spans="1:15">
      <c r="A9" s="32"/>
      <c r="B9" s="106">
        <v>1020</v>
      </c>
      <c r="C9" s="20" t="str">
        <f>IF(B9="","",VLOOKUP(B9,Chart,2))</f>
        <v>Racine Community Foundation</v>
      </c>
      <c r="E9" s="23">
        <f>VLOOKUP(IF(CurrQtr=1,0,IF(CurrQtr=2,3,IF(CurrQtr=3,6,9))),BankAccounts,10)</f>
        <v>21916.78</v>
      </c>
      <c r="G9" s="23">
        <f>VLOOKUP(IF(CurrQtr=1,1,IF(CurrQtr=2,4,IF(CurrQtr=3,7,10))),BankAccounts,10)</f>
        <v>21916.78</v>
      </c>
      <c r="H9" s="20"/>
      <c r="I9" s="23">
        <f>VLOOKUP(IF(CurrQtr=1,2,IF(CurrQtr=2,5,IF(CurrQtr=3,8,11))),BankAccounts,10)</f>
        <v>21916.78</v>
      </c>
      <c r="J9" s="20"/>
      <c r="K9" s="23">
        <f>VLOOKUP(IF(CurrQtr=1,3,IF(CurrQtr=2,6,IF(CurrQtr=3,9,12))),BankAccounts,10)</f>
        <v>21916.78</v>
      </c>
      <c r="L9" s="31"/>
    </row>
    <row r="10" spans="1:15" ht="16" thickBot="1">
      <c r="A10" s="32"/>
      <c r="B10" s="47" t="s">
        <v>34</v>
      </c>
      <c r="C10" s="47"/>
      <c r="D10" s="47"/>
      <c r="E10" s="68">
        <f>SUM(E7:E9)</f>
        <v>183069.98</v>
      </c>
      <c r="F10" s="47"/>
      <c r="G10" s="68">
        <f>SUM(G7:G9)</f>
        <v>186126.99000000002</v>
      </c>
      <c r="H10" s="20"/>
      <c r="I10" s="68">
        <f>SUM(I7:I9)</f>
        <v>189070.77000000002</v>
      </c>
      <c r="J10" s="20"/>
      <c r="K10" s="68">
        <f>SUM(K7:K9)</f>
        <v>184048.90000000002</v>
      </c>
      <c r="L10" s="31"/>
      <c r="M10" s="24"/>
    </row>
    <row r="11" spans="1:15" ht="4" customHeight="1" thickTop="1">
      <c r="A11" s="32"/>
      <c r="E11" s="24"/>
      <c r="G11" s="112" t="str">
        <f>VLOOKUP(CurrQtr,LKQtr,2)</f>
        <v>October</v>
      </c>
      <c r="H11" s="20"/>
      <c r="I11" s="112" t="str">
        <f>VLOOKUP(CurrQtr,LKQtr,2)</f>
        <v>October</v>
      </c>
      <c r="J11" s="20"/>
      <c r="K11" s="112" t="str">
        <f>VLOOKUP(CurrQtr,LKQtr,2)</f>
        <v>October</v>
      </c>
      <c r="L11" s="31"/>
    </row>
    <row r="12" spans="1:15">
      <c r="A12" s="32"/>
      <c r="B12" s="47"/>
      <c r="C12" s="47"/>
      <c r="D12" s="47"/>
      <c r="E12" s="69"/>
      <c r="F12" s="47"/>
      <c r="G12" s="69"/>
      <c r="H12" s="20"/>
      <c r="I12" s="20"/>
      <c r="J12" s="20"/>
      <c r="K12" s="27"/>
      <c r="L12" s="31"/>
    </row>
    <row r="13" spans="1:15" ht="4" customHeight="1">
      <c r="A13" s="32"/>
      <c r="E13" s="24"/>
      <c r="G13" s="24"/>
      <c r="H13" s="20"/>
      <c r="I13" s="20"/>
      <c r="J13" s="20"/>
      <c r="K13" s="105"/>
      <c r="L13" s="31"/>
    </row>
    <row r="14" spans="1:15">
      <c r="A14" s="32"/>
      <c r="B14" s="22" t="s">
        <v>83</v>
      </c>
      <c r="E14" s="24"/>
      <c r="G14" s="24"/>
      <c r="H14" s="20"/>
      <c r="I14" s="20"/>
      <c r="J14" s="20"/>
      <c r="K14" s="27"/>
      <c r="L14" s="31"/>
    </row>
    <row r="15" spans="1:15">
      <c r="A15" s="32"/>
      <c r="C15" s="22" t="s">
        <v>75</v>
      </c>
      <c r="E15" s="23">
        <f>VLOOKUP(IF(CurrQtr=1,0,IF(CurrQtr=2,3,IF(CurrQtr=3,6,9))),BankAccounts,14)</f>
        <v>129258.65</v>
      </c>
      <c r="G15" s="23">
        <f>VLOOKUP(IF(CurrQtr=1,1,IF(CurrQtr=2,4,IF(CurrQtr=3,7,10))),BankAccounts,14)</f>
        <v>129258.65</v>
      </c>
      <c r="H15" s="20"/>
      <c r="I15" s="23">
        <f>VLOOKUP(IF(CurrQtr=1,2,IF(CurrQtr=2,5,IF(CurrQtr=3,8,11))),BankAccounts,14)</f>
        <v>129258.65</v>
      </c>
      <c r="J15" s="20"/>
      <c r="K15" s="23">
        <f>VLOOKUP(IF(CurrQtr=1,3,IF(CurrQtr=2,6,IF(CurrQtr=3,9,12))),BankAccounts,14)</f>
        <v>129258.65</v>
      </c>
      <c r="L15" s="31"/>
      <c r="M15" s="24"/>
    </row>
    <row r="16" spans="1:15">
      <c r="A16" s="32"/>
      <c r="C16" s="22" t="s">
        <v>101</v>
      </c>
      <c r="E16" s="24">
        <f>+E10-E15</f>
        <v>53811.330000000016</v>
      </c>
      <c r="F16" s="24">
        <f t="shared" ref="F16:K16" si="0">+F10-F15</f>
        <v>0</v>
      </c>
      <c r="G16" s="24">
        <f t="shared" si="0"/>
        <v>56868.340000000026</v>
      </c>
      <c r="H16" s="24">
        <f t="shared" si="0"/>
        <v>0</v>
      </c>
      <c r="I16" s="24">
        <f t="shared" si="0"/>
        <v>59812.120000000024</v>
      </c>
      <c r="J16" s="24">
        <f t="shared" si="0"/>
        <v>0</v>
      </c>
      <c r="K16" s="24">
        <f t="shared" si="0"/>
        <v>54790.250000000029</v>
      </c>
      <c r="L16" s="31"/>
      <c r="M16" s="24"/>
    </row>
    <row r="17" spans="1:13">
      <c r="A17" s="32"/>
      <c r="B17" s="134"/>
      <c r="C17" s="22" t="str">
        <f>Reserve*100&amp;"% Reserve (of available funds)"</f>
        <v>15% Reserve (of available funds)</v>
      </c>
      <c r="E17" s="24">
        <f t="shared" ref="E17:K17" si="1">+E16*Reserve</f>
        <v>8071.6995000000024</v>
      </c>
      <c r="F17" s="24">
        <f t="shared" si="1"/>
        <v>0</v>
      </c>
      <c r="G17" s="24">
        <f t="shared" si="1"/>
        <v>8530.2510000000038</v>
      </c>
      <c r="H17" s="24">
        <f t="shared" si="1"/>
        <v>0</v>
      </c>
      <c r="I17" s="24">
        <f t="shared" si="1"/>
        <v>8971.8180000000029</v>
      </c>
      <c r="J17" s="24">
        <f t="shared" si="1"/>
        <v>0</v>
      </c>
      <c r="K17" s="24">
        <f t="shared" si="1"/>
        <v>8218.537500000004</v>
      </c>
      <c r="L17" s="31"/>
      <c r="M17" s="24"/>
    </row>
    <row r="18" spans="1:13" ht="16" thickBot="1">
      <c r="A18" s="32"/>
      <c r="B18" s="47" t="s">
        <v>86</v>
      </c>
      <c r="C18" s="47"/>
      <c r="D18" s="47"/>
      <c r="E18" s="68">
        <f>+E16-E17</f>
        <v>45739.630500000014</v>
      </c>
      <c r="F18" s="68">
        <f t="shared" ref="F18:K18" si="2">+F16-F17</f>
        <v>0</v>
      </c>
      <c r="G18" s="68">
        <f t="shared" si="2"/>
        <v>48338.089000000022</v>
      </c>
      <c r="H18" s="68">
        <f t="shared" si="2"/>
        <v>0</v>
      </c>
      <c r="I18" s="68">
        <f t="shared" si="2"/>
        <v>50840.302000000025</v>
      </c>
      <c r="J18" s="68">
        <f t="shared" si="2"/>
        <v>0</v>
      </c>
      <c r="K18" s="68">
        <f t="shared" si="2"/>
        <v>46571.712500000023</v>
      </c>
      <c r="L18" s="31"/>
      <c r="M18" s="24"/>
    </row>
    <row r="19" spans="1:13" ht="16" thickTop="1">
      <c r="A19" s="32"/>
      <c r="B19" s="47"/>
      <c r="C19" s="184" t="s">
        <v>102</v>
      </c>
      <c r="D19" s="47"/>
      <c r="E19" s="183"/>
      <c r="F19" s="183"/>
      <c r="G19" s="183"/>
      <c r="H19" s="183"/>
      <c r="I19" s="183"/>
      <c r="J19" s="183"/>
      <c r="K19" s="183"/>
      <c r="L19" s="31"/>
      <c r="M19" s="24"/>
    </row>
    <row r="20" spans="1:13" ht="13" customHeight="1" thickBot="1">
      <c r="A20" s="33"/>
      <c r="B20" s="34"/>
      <c r="C20" s="34"/>
      <c r="D20" s="34"/>
      <c r="E20" s="100"/>
      <c r="F20" s="34"/>
      <c r="G20" s="100"/>
      <c r="H20" s="37"/>
      <c r="I20" s="37"/>
      <c r="J20" s="37"/>
      <c r="K20" s="137"/>
      <c r="L20" s="36"/>
    </row>
    <row r="21" spans="1:13" ht="10" customHeight="1" thickTop="1" thickBot="1">
      <c r="B21" s="34"/>
      <c r="C21" s="34"/>
      <c r="D21" s="34"/>
      <c r="E21" s="35"/>
      <c r="G21" s="27"/>
      <c r="K21" s="101"/>
    </row>
    <row r="22" spans="1:13" ht="22.5" customHeight="1" thickTop="1">
      <c r="A22" s="28"/>
      <c r="B22" s="141" t="s">
        <v>40</v>
      </c>
      <c r="C22" s="141"/>
      <c r="D22" s="141"/>
      <c r="E22" s="141"/>
      <c r="F22" s="141"/>
      <c r="G22" s="141"/>
      <c r="H22" s="141"/>
      <c r="I22" s="141"/>
      <c r="J22" s="141"/>
      <c r="K22" s="141"/>
      <c r="L22" s="30"/>
    </row>
    <row r="23" spans="1:13" ht="31">
      <c r="A23" s="32"/>
      <c r="B23" s="121" t="s">
        <v>36</v>
      </c>
      <c r="E23" s="74" t="str">
        <f>VLOOKUP(CurrQtr,LKQtr,2)</f>
        <v>October</v>
      </c>
      <c r="F23" s="123"/>
      <c r="G23" s="74" t="str">
        <f>VLOOKUP(CurrQtr,LKQtr,3)</f>
        <v>November</v>
      </c>
      <c r="H23" s="138"/>
      <c r="I23" s="74" t="str">
        <f>VLOOKUP(CurrQtr,LKQtr,4)</f>
        <v>December</v>
      </c>
      <c r="J23" s="138"/>
      <c r="K23" s="74" t="str">
        <f>"Total "&amp;VLOOKUP(CurrQtr,LKQtr,5)</f>
        <v>Total 4th Quarter</v>
      </c>
      <c r="L23" s="31"/>
    </row>
    <row r="24" spans="1:13">
      <c r="A24" s="32"/>
      <c r="B24" s="120">
        <v>4000</v>
      </c>
      <c r="C24" s="20" t="str">
        <f>VLOOKUP(B24,Accounts,2)</f>
        <v>Contributions (Principal Increase)</v>
      </c>
      <c r="E24" s="23">
        <f>SUMIFS(SumRevenue,SumMonth,E$23,SumAccount,$B24)</f>
        <v>0</v>
      </c>
      <c r="F24" s="23"/>
      <c r="G24" s="23">
        <f>SUMIFS(SumRevenue,SumMonth,G$23,SumAccount,$B24)</f>
        <v>0</v>
      </c>
      <c r="H24" s="23"/>
      <c r="I24" s="23">
        <f>SUMIFS(SumRevenue,SumMonth,I$23,SumAccount,$B24)</f>
        <v>0</v>
      </c>
      <c r="J24" s="23"/>
      <c r="K24" s="24">
        <f>SUM(E24:I24)</f>
        <v>0</v>
      </c>
      <c r="L24" s="31"/>
      <c r="M24" s="24"/>
    </row>
    <row r="25" spans="1:13">
      <c r="A25" s="32"/>
      <c r="B25" s="120">
        <v>4010</v>
      </c>
      <c r="C25" s="20" t="str">
        <f>VLOOKUP(B25,Accounts,2)</f>
        <v>Interest</v>
      </c>
      <c r="E25" s="23">
        <f>SUMIFS(SumRevenue,SumMonth,E$23,SumAccount,$B25)</f>
        <v>0</v>
      </c>
      <c r="G25" s="23">
        <f>SUMIFS(SumRevenue,SumMonth,G$23,SumAccount,$B25)</f>
        <v>0</v>
      </c>
      <c r="H25" s="20"/>
      <c r="I25" s="23">
        <f>SUMIFS(SumRevenue,SumMonth,I$23,SumAccount,$B25)</f>
        <v>0</v>
      </c>
      <c r="J25" s="20"/>
      <c r="K25" s="24">
        <f>SUM(E25:I25)</f>
        <v>0</v>
      </c>
      <c r="L25" s="31"/>
      <c r="M25" s="24"/>
    </row>
    <row r="26" spans="1:13">
      <c r="A26" s="32"/>
      <c r="B26" s="120">
        <v>4020</v>
      </c>
      <c r="C26" s="20" t="str">
        <f>VLOOKUP(B26,Accounts,2)</f>
        <v>Change in Investment Value</v>
      </c>
      <c r="E26" s="122">
        <f>SUMIFS(SumRevenue,SumMonth,E$23,SumAccount,$B26)</f>
        <v>3057.01</v>
      </c>
      <c r="F26" s="123"/>
      <c r="G26" s="122">
        <f>SUMIFS(SumRevenue,SumMonth,G$23,SumAccount,$B26)</f>
        <v>2943.78</v>
      </c>
      <c r="H26" s="124"/>
      <c r="I26" s="122">
        <f>SUMIFS(SumRevenue,SumMonth,I$23,SumAccount,$B26)</f>
        <v>3978.13</v>
      </c>
      <c r="J26" s="124"/>
      <c r="K26" s="125">
        <f>SUM(E26:I26)</f>
        <v>9978.9200000000019</v>
      </c>
      <c r="L26" s="31"/>
    </row>
    <row r="27" spans="1:13" ht="20">
      <c r="A27" s="32"/>
      <c r="B27" s="47" t="s">
        <v>37</v>
      </c>
      <c r="C27" s="67"/>
      <c r="D27" s="70"/>
      <c r="E27" s="71">
        <f>SUM(E24:E26)</f>
        <v>3057.01</v>
      </c>
      <c r="F27" s="70"/>
      <c r="G27" s="71">
        <f>SUM(G24:G26)</f>
        <v>2943.78</v>
      </c>
      <c r="H27" s="67"/>
      <c r="I27" s="71">
        <f>SUM(I24:I26)</f>
        <v>3978.13</v>
      </c>
      <c r="J27" s="72"/>
      <c r="K27" s="71">
        <f>SUM(K24:K26)</f>
        <v>9978.9200000000019</v>
      </c>
      <c r="L27" s="31"/>
      <c r="M27" s="24"/>
    </row>
    <row r="28" spans="1:13" ht="7.5" customHeight="1">
      <c r="A28" s="32"/>
      <c r="C28" s="20"/>
      <c r="D28" s="25"/>
      <c r="E28" s="23"/>
      <c r="F28" s="25"/>
      <c r="G28" s="23"/>
      <c r="H28" s="20"/>
      <c r="I28" s="23"/>
      <c r="J28" s="26"/>
      <c r="K28" s="24"/>
      <c r="L28" s="31"/>
    </row>
    <row r="29" spans="1:13" ht="18.5">
      <c r="A29" s="32"/>
      <c r="B29" s="22" t="s">
        <v>38</v>
      </c>
      <c r="C29" s="20"/>
      <c r="D29" s="25"/>
      <c r="E29" s="23"/>
      <c r="F29" s="25"/>
      <c r="G29" s="23"/>
      <c r="H29" s="20"/>
      <c r="I29" s="23"/>
      <c r="J29" s="26"/>
      <c r="K29" s="24"/>
      <c r="L29" s="31"/>
    </row>
    <row r="30" spans="1:13" ht="15.5" customHeight="1">
      <c r="A30" s="32"/>
      <c r="B30" s="120">
        <v>5000</v>
      </c>
      <c r="C30" s="20" t="str">
        <f>VLOOKUP(B30,Accounts,2)</f>
        <v>Grants</v>
      </c>
      <c r="E30" s="23">
        <f>SUMIFS(SumExp,SumMonth,E$23,SumAccount,$B30)</f>
        <v>0</v>
      </c>
      <c r="G30" s="23">
        <f>SUMIFS(SumExp,SumMonth,G$23,SumAccount,$B30)</f>
        <v>0</v>
      </c>
      <c r="H30" s="20"/>
      <c r="I30" s="23">
        <f>SUMIFS(SumExp,SumMonth,I$23,SumAccount,$B30)</f>
        <v>9000</v>
      </c>
      <c r="J30" s="20"/>
      <c r="K30" s="24">
        <f>SUM(E30:I30)</f>
        <v>9000</v>
      </c>
      <c r="L30" s="31"/>
    </row>
    <row r="31" spans="1:13" ht="15.5" customHeight="1">
      <c r="A31" s="32"/>
      <c r="B31" s="120">
        <v>5010</v>
      </c>
      <c r="C31" s="20" t="str">
        <f>VLOOKUP(B31,Accounts,2)</f>
        <v>Fund Expenses</v>
      </c>
      <c r="E31" s="23">
        <f>SUMIFS(SumExp,SumMonth,E$23,SumAccount,$B31)</f>
        <v>0</v>
      </c>
      <c r="G31" s="23">
        <f>SUMIFS(SumExp,SumMonth,G$23,SumAccount,$B31)</f>
        <v>0</v>
      </c>
      <c r="H31" s="20"/>
      <c r="I31" s="23">
        <f>SUMIFS(SumExp,SumMonth,I$23,SumAccount,$B31)</f>
        <v>0</v>
      </c>
      <c r="J31" s="20"/>
      <c r="K31" s="24">
        <f>SUM(E31:I31)</f>
        <v>0</v>
      </c>
      <c r="L31" s="31"/>
    </row>
    <row r="32" spans="1:13" ht="15.5" customHeight="1">
      <c r="A32" s="32"/>
      <c r="B32" s="120">
        <v>5050</v>
      </c>
      <c r="C32" s="20" t="str">
        <f>VLOOKUP(B32,Accounts,2)</f>
        <v>Reductions to Principal</v>
      </c>
      <c r="E32" s="122">
        <f>SUMIFS(SumExp,SumMonth,E$23,SumAccount,$B32)</f>
        <v>0</v>
      </c>
      <c r="F32" s="123"/>
      <c r="G32" s="122">
        <f>SUMIFS(SumExp,SumMonth,G$23,SumAccount,$B32)</f>
        <v>0</v>
      </c>
      <c r="H32" s="124"/>
      <c r="I32" s="122">
        <f>SUMIFS(SumExp,SumMonth,I$23,SumAccount,$B32)</f>
        <v>0</v>
      </c>
      <c r="J32" s="124"/>
      <c r="K32" s="125">
        <f>SUM(E32:I32)</f>
        <v>0</v>
      </c>
      <c r="L32" s="31"/>
    </row>
    <row r="33" spans="1:14" ht="15.5" customHeight="1">
      <c r="A33" s="32"/>
      <c r="B33" s="47" t="s">
        <v>33</v>
      </c>
      <c r="E33" s="71">
        <f>SUM(E30:E32)</f>
        <v>0</v>
      </c>
      <c r="G33" s="71">
        <f>SUM(G30:G32)</f>
        <v>0</v>
      </c>
      <c r="H33" s="67"/>
      <c r="I33" s="71">
        <f>SUM(I30:I32)</f>
        <v>9000</v>
      </c>
      <c r="J33" s="72"/>
      <c r="K33" s="71">
        <f>SUM(K30:K32)</f>
        <v>9000</v>
      </c>
      <c r="L33" s="31"/>
      <c r="M33" s="24"/>
      <c r="N33" s="24"/>
    </row>
    <row r="34" spans="1:14" ht="9" customHeight="1">
      <c r="A34" s="32"/>
      <c r="B34" s="47"/>
      <c r="E34" s="71"/>
      <c r="G34" s="71"/>
      <c r="H34" s="67"/>
      <c r="I34" s="71"/>
      <c r="J34" s="72"/>
      <c r="K34" s="71"/>
      <c r="L34" s="31"/>
    </row>
    <row r="35" spans="1:14" ht="15.5" customHeight="1" thickBot="1">
      <c r="A35" s="32"/>
      <c r="B35" s="47" t="s">
        <v>39</v>
      </c>
      <c r="E35" s="73">
        <f>+E27-E33</f>
        <v>3057.01</v>
      </c>
      <c r="G35" s="73">
        <f>+G27-G33</f>
        <v>2943.78</v>
      </c>
      <c r="H35" s="67"/>
      <c r="I35" s="73">
        <f>+I27-I33</f>
        <v>-5021.87</v>
      </c>
      <c r="J35" s="72"/>
      <c r="K35" s="73">
        <f>+K27-K33</f>
        <v>978.92000000000189</v>
      </c>
      <c r="L35" s="31"/>
      <c r="M35" s="24"/>
    </row>
    <row r="36" spans="1:14" ht="11" customHeight="1" thickTop="1" thickBot="1">
      <c r="A36" s="33"/>
      <c r="B36" s="34"/>
      <c r="C36" s="34"/>
      <c r="D36" s="34"/>
      <c r="E36" s="34"/>
      <c r="F36" s="34"/>
      <c r="G36" s="34"/>
      <c r="H36" s="37"/>
      <c r="I36" s="34"/>
      <c r="J36" s="37"/>
      <c r="K36" s="34"/>
      <c r="L36" s="36"/>
    </row>
    <row r="37" spans="1:14" ht="16" thickTop="1">
      <c r="H37" s="20"/>
      <c r="J37" s="20"/>
      <c r="M37" s="24"/>
    </row>
    <row r="38" spans="1:14">
      <c r="A38" s="120" t="s">
        <v>76</v>
      </c>
      <c r="G38" s="27"/>
      <c r="H38" s="20"/>
      <c r="J38" s="20"/>
    </row>
    <row r="39" spans="1:14">
      <c r="B39" s="120">
        <v>5020</v>
      </c>
      <c r="C39" s="126" t="str">
        <f>VLOOKUP(B39,Accounts,2)</f>
        <v>Transfer Funds</v>
      </c>
      <c r="E39" s="23" t="str">
        <f>IF(SUMIFS(SumRevenue,SumMonth,E$23,SumAccount,$B39)-SUMIFS(SumExp,SumMonth,E$23,SumAccount,$B39)=0,"","ERROR WITH TRANSFERS")</f>
        <v/>
      </c>
      <c r="G39" s="23" t="str">
        <f>IF(SUMIFS(SumRevenue,SumMonth,G$23,SumAccount,$B39)-SUMIFS(SumExp,SumMonth,G$23,SumAccount,$B39)=0,"","ERROR WITH TRANSFERS")</f>
        <v/>
      </c>
      <c r="H39" s="20"/>
      <c r="I39" s="23" t="str">
        <f>IF(SUMIFS(SumRevenue,SumMonth,I$23,SumAccount,$B39)-SUMIFS(SumExp,SumMonth,I$23,SumAccount,$B39)=0,"","ERROR WITH TRANSFERS")</f>
        <v/>
      </c>
      <c r="J39" s="20"/>
    </row>
    <row r="40" spans="1:14">
      <c r="B40" s="120" t="s">
        <v>77</v>
      </c>
      <c r="E40" s="27"/>
      <c r="F40" s="27"/>
      <c r="G40" s="27" t="str">
        <f>IF(ROUND(+G10-$E10-E35,0)=0,"","ERROR IN BALANCES")</f>
        <v/>
      </c>
      <c r="H40" s="27"/>
      <c r="I40" s="27" t="str">
        <f>IF(ROUND(+I10-$E10-G35-E35,0)=0,"","ERROR IN BALANCES")</f>
        <v/>
      </c>
      <c r="J40" s="27"/>
      <c r="K40" s="27" t="str">
        <f>IF(ROUND(+K10-$E10-K35,0)=0,"","ERROR IN BALANCES")</f>
        <v/>
      </c>
    </row>
    <row r="41" spans="1:14">
      <c r="E41" s="20"/>
      <c r="G41" s="20"/>
      <c r="H41" s="20"/>
      <c r="J41" s="20"/>
    </row>
    <row r="42" spans="1:14">
      <c r="E42" s="20"/>
      <c r="G42" s="20"/>
      <c r="H42" s="20"/>
      <c r="J42" s="20"/>
    </row>
    <row r="43" spans="1:14">
      <c r="H43" s="20"/>
      <c r="J43" s="20"/>
    </row>
    <row r="44" spans="1:14">
      <c r="H44" s="20"/>
      <c r="J44" s="20"/>
    </row>
    <row r="45" spans="1:14">
      <c r="H45" s="20"/>
      <c r="J45" s="20"/>
    </row>
    <row r="49" spans="4:10">
      <c r="H49" s="20"/>
      <c r="J49" s="20"/>
    </row>
    <row r="50" spans="4:10">
      <c r="H50" s="20"/>
      <c r="J50" s="20"/>
    </row>
    <row r="51" spans="4:10">
      <c r="H51" s="20"/>
      <c r="J51" s="20"/>
    </row>
    <row r="52" spans="4:10">
      <c r="H52" s="20"/>
      <c r="J52" s="20"/>
    </row>
    <row r="53" spans="4:10">
      <c r="E53" s="20"/>
      <c r="G53" s="20"/>
      <c r="H53" s="20"/>
      <c r="J53" s="20"/>
    </row>
    <row r="54" spans="4:10">
      <c r="E54" s="20"/>
      <c r="G54" s="20"/>
      <c r="H54" s="20"/>
      <c r="J54" s="20"/>
    </row>
    <row r="55" spans="4:10">
      <c r="E55" s="20"/>
      <c r="G55" s="20"/>
      <c r="H55" s="20"/>
      <c r="J55" s="20"/>
    </row>
    <row r="56" spans="4:10">
      <c r="E56" s="20"/>
      <c r="G56" s="20"/>
      <c r="H56" s="20"/>
      <c r="J56" s="20"/>
    </row>
    <row r="57" spans="4:10">
      <c r="D57" s="20"/>
      <c r="F57" s="20"/>
      <c r="H57" s="20"/>
      <c r="J57" s="20"/>
    </row>
    <row r="58" spans="4:10">
      <c r="H58" s="20"/>
      <c r="J58" s="20"/>
    </row>
    <row r="59" spans="4:10">
      <c r="H59" s="20"/>
      <c r="J59" s="20"/>
    </row>
    <row r="60" spans="4:10">
      <c r="H60" s="20"/>
      <c r="J60" s="20"/>
    </row>
    <row r="61" spans="4:10">
      <c r="H61" s="20"/>
      <c r="J61" s="20"/>
    </row>
    <row r="62" spans="4:10">
      <c r="H62" s="20"/>
      <c r="J62" s="20"/>
    </row>
    <row r="63" spans="4:10">
      <c r="E63" s="20"/>
      <c r="G63" s="20"/>
      <c r="H63" s="20"/>
      <c r="J63" s="20"/>
    </row>
    <row r="64" spans="4:10">
      <c r="E64" s="20"/>
      <c r="G64" s="20"/>
      <c r="H64" s="20"/>
      <c r="J64" s="20"/>
    </row>
    <row r="65" spans="5:10">
      <c r="E65" s="20"/>
      <c r="G65" s="20"/>
      <c r="H65" s="20"/>
      <c r="J65" s="20"/>
    </row>
    <row r="66" spans="5:10">
      <c r="E66" s="20"/>
      <c r="G66" s="20"/>
      <c r="H66" s="20"/>
      <c r="J66" s="20"/>
    </row>
    <row r="67" spans="5:10">
      <c r="E67" s="20"/>
      <c r="G67" s="20"/>
      <c r="H67" s="20"/>
      <c r="J67" s="20"/>
    </row>
    <row r="68" spans="5:10">
      <c r="E68" s="20"/>
      <c r="G68" s="20"/>
      <c r="H68" s="20"/>
      <c r="J68" s="20"/>
    </row>
    <row r="69" spans="5:10">
      <c r="E69" s="20"/>
      <c r="G69" s="20"/>
      <c r="H69" s="20"/>
      <c r="J69" s="20"/>
    </row>
    <row r="70" spans="5:10">
      <c r="E70" s="20"/>
      <c r="G70" s="20"/>
      <c r="H70" s="20"/>
      <c r="J70" s="20"/>
    </row>
    <row r="71" spans="5:10">
      <c r="E71" s="20"/>
      <c r="G71" s="20"/>
      <c r="H71" s="20"/>
      <c r="J71" s="20"/>
    </row>
    <row r="72" spans="5:10">
      <c r="E72" s="20"/>
      <c r="G72" s="20"/>
      <c r="H72" s="20"/>
      <c r="J72" s="20"/>
    </row>
    <row r="73" spans="5:10">
      <c r="E73" s="20"/>
      <c r="G73" s="20"/>
      <c r="H73" s="20"/>
      <c r="J73" s="20"/>
    </row>
    <row r="74" spans="5:10">
      <c r="E74" s="20"/>
      <c r="G74" s="20"/>
      <c r="H74" s="20"/>
      <c r="J74" s="20"/>
    </row>
    <row r="75" spans="5:10">
      <c r="E75" s="20"/>
      <c r="G75" s="20"/>
      <c r="H75" s="20"/>
      <c r="J75" s="20"/>
    </row>
    <row r="76" spans="5:10">
      <c r="E76" s="20"/>
      <c r="G76" s="20"/>
      <c r="H76" s="20"/>
      <c r="J76" s="20"/>
    </row>
    <row r="77" spans="5:10">
      <c r="E77" s="20"/>
      <c r="G77" s="20"/>
      <c r="H77" s="20"/>
      <c r="J77" s="20"/>
    </row>
    <row r="78" spans="5:10">
      <c r="E78" s="20"/>
      <c r="G78" s="20"/>
      <c r="H78" s="20"/>
      <c r="J78" s="20"/>
    </row>
    <row r="79" spans="5:10">
      <c r="E79" s="20"/>
      <c r="G79" s="20"/>
      <c r="H79" s="20"/>
      <c r="J79" s="20"/>
    </row>
    <row r="80" spans="5:10">
      <c r="E80" s="20"/>
      <c r="G80" s="20"/>
      <c r="H80" s="20"/>
      <c r="J80" s="20"/>
    </row>
    <row r="81" spans="5:10">
      <c r="E81" s="20"/>
      <c r="G81" s="20"/>
      <c r="H81" s="20"/>
      <c r="J81" s="20"/>
    </row>
    <row r="82" spans="5:10">
      <c r="E82" s="20"/>
      <c r="G82" s="20"/>
      <c r="H82" s="20"/>
      <c r="J82" s="20"/>
    </row>
    <row r="83" spans="5:10">
      <c r="E83" s="20"/>
      <c r="G83" s="20"/>
      <c r="H83" s="20"/>
      <c r="J83" s="20"/>
    </row>
    <row r="84" spans="5:10">
      <c r="E84" s="20"/>
      <c r="G84" s="20"/>
      <c r="H84" s="20"/>
      <c r="J84" s="20"/>
    </row>
    <row r="85" spans="5:10">
      <c r="E85" s="20"/>
      <c r="G85" s="20"/>
      <c r="H85" s="20"/>
      <c r="J85" s="20"/>
    </row>
    <row r="86" spans="5:10">
      <c r="E86" s="20"/>
      <c r="G86" s="20"/>
      <c r="H86" s="20"/>
      <c r="J86" s="20"/>
    </row>
    <row r="87" spans="5:10">
      <c r="E87" s="20"/>
      <c r="G87" s="20"/>
      <c r="H87" s="20"/>
      <c r="J87" s="20"/>
    </row>
    <row r="88" spans="5:10">
      <c r="E88" s="20"/>
      <c r="G88" s="20"/>
      <c r="H88" s="20"/>
      <c r="J88" s="20"/>
    </row>
    <row r="89" spans="5:10">
      <c r="H89" s="20"/>
      <c r="J89" s="20"/>
    </row>
    <row r="90" spans="5:10">
      <c r="E90" s="20"/>
      <c r="G90" s="20"/>
      <c r="H90" s="20"/>
      <c r="J90" s="20"/>
    </row>
    <row r="91" spans="5:10">
      <c r="E91" s="20"/>
      <c r="G91" s="20"/>
      <c r="H91" s="20"/>
      <c r="J91" s="20"/>
    </row>
    <row r="92" spans="5:10">
      <c r="E92" s="20"/>
      <c r="G92" s="20"/>
      <c r="H92" s="20"/>
      <c r="J92" s="20"/>
    </row>
    <row r="93" spans="5:10">
      <c r="E93" s="20"/>
      <c r="G93" s="20"/>
      <c r="H93" s="20"/>
      <c r="J93" s="20"/>
    </row>
    <row r="94" spans="5:10">
      <c r="E94" s="20"/>
      <c r="G94" s="20"/>
      <c r="H94" s="20"/>
      <c r="J94" s="20"/>
    </row>
    <row r="95" spans="5:10">
      <c r="E95" s="20"/>
      <c r="G95" s="20"/>
      <c r="H95" s="20"/>
      <c r="J95" s="20"/>
    </row>
    <row r="96" spans="5:10">
      <c r="H96" s="20"/>
      <c r="J96" s="20"/>
    </row>
    <row r="97" spans="5:10">
      <c r="H97" s="20"/>
      <c r="J97" s="20"/>
    </row>
    <row r="98" spans="5:10">
      <c r="H98" s="20"/>
      <c r="J98" s="20"/>
    </row>
    <row r="99" spans="5:10">
      <c r="H99" s="20"/>
      <c r="J99" s="20"/>
    </row>
    <row r="100" spans="5:10">
      <c r="H100" s="20"/>
      <c r="J100" s="20"/>
    </row>
    <row r="101" spans="5:10">
      <c r="H101" s="20"/>
      <c r="J101" s="20"/>
    </row>
    <row r="102" spans="5:10">
      <c r="H102" s="20"/>
      <c r="J102" s="20"/>
    </row>
    <row r="103" spans="5:10">
      <c r="E103" s="20"/>
      <c r="G103" s="20"/>
      <c r="H103" s="20"/>
      <c r="J103" s="20"/>
    </row>
    <row r="104" spans="5:10">
      <c r="H104" s="20"/>
      <c r="J104" s="20"/>
    </row>
    <row r="105" spans="5:10">
      <c r="H105" s="20"/>
      <c r="J105" s="20"/>
    </row>
    <row r="110" spans="5:10">
      <c r="E110" s="20"/>
      <c r="G110" s="20"/>
      <c r="H110" s="20"/>
      <c r="J110" s="20"/>
    </row>
    <row r="111" spans="5:10">
      <c r="E111" s="20"/>
      <c r="G111" s="20"/>
      <c r="H111" s="20"/>
      <c r="J111" s="20"/>
    </row>
    <row r="112" spans="5:10">
      <c r="E112" s="20"/>
      <c r="G112" s="20"/>
    </row>
    <row r="113" spans="8:10">
      <c r="H113" s="20"/>
      <c r="J113" s="20"/>
    </row>
    <row r="118" spans="8:10">
      <c r="H118" s="20"/>
      <c r="J118" s="20"/>
    </row>
    <row r="126" spans="8:10">
      <c r="H126" s="20"/>
      <c r="J126" s="20"/>
    </row>
    <row r="128" spans="8:10">
      <c r="H128" s="20"/>
      <c r="J128" s="20"/>
    </row>
    <row r="129" spans="5:10">
      <c r="H129" s="20"/>
      <c r="J129" s="20"/>
    </row>
    <row r="130" spans="5:10">
      <c r="H130" s="20"/>
      <c r="J130" s="20"/>
    </row>
    <row r="131" spans="5:10">
      <c r="H131" s="20"/>
      <c r="J131" s="20"/>
    </row>
    <row r="132" spans="5:10">
      <c r="H132" s="20"/>
      <c r="J132" s="20"/>
    </row>
    <row r="133" spans="5:10">
      <c r="E133" s="20"/>
      <c r="G133" s="20"/>
      <c r="H133" s="20"/>
      <c r="J133" s="20"/>
    </row>
    <row r="134" spans="5:10">
      <c r="E134" s="20"/>
      <c r="G134" s="20"/>
      <c r="H134" s="20"/>
      <c r="J134" s="20"/>
    </row>
    <row r="135" spans="5:10">
      <c r="E135" s="20"/>
      <c r="G135" s="20"/>
      <c r="H135" s="20"/>
      <c r="J135" s="20"/>
    </row>
    <row r="136" spans="5:10">
      <c r="E136" s="20"/>
      <c r="G136" s="20"/>
      <c r="H136" s="20"/>
      <c r="J136" s="20"/>
    </row>
    <row r="137" spans="5:10">
      <c r="H137" s="20"/>
      <c r="J137" s="20"/>
    </row>
    <row r="138" spans="5:10">
      <c r="H138" s="20"/>
      <c r="J138" s="20"/>
    </row>
    <row r="139" spans="5:10">
      <c r="H139" s="20"/>
      <c r="J139" s="20"/>
    </row>
    <row r="140" spans="5:10">
      <c r="H140" s="20"/>
      <c r="J140" s="20"/>
    </row>
    <row r="141" spans="5:10">
      <c r="H141" s="20"/>
      <c r="J141" s="20"/>
    </row>
    <row r="142" spans="5:10">
      <c r="H142" s="20"/>
      <c r="J142" s="20"/>
    </row>
    <row r="143" spans="5:10">
      <c r="H143" s="20"/>
      <c r="J143" s="20"/>
    </row>
    <row r="144" spans="5:10">
      <c r="H144" s="20"/>
      <c r="J144" s="20"/>
    </row>
    <row r="148" spans="8:10">
      <c r="H148" s="20"/>
      <c r="J148" s="20"/>
    </row>
    <row r="150" spans="8:10">
      <c r="H150" s="20"/>
      <c r="J150" s="20"/>
    </row>
    <row r="154" spans="8:10">
      <c r="H154" s="20"/>
      <c r="J154" s="20"/>
    </row>
    <row r="162" spans="8:10">
      <c r="H162" s="20"/>
      <c r="J162" s="20"/>
    </row>
    <row r="163" spans="8:10">
      <c r="H163" s="20"/>
      <c r="J163" s="20"/>
    </row>
    <row r="166" spans="8:10">
      <c r="H166" s="20"/>
      <c r="J166" s="20"/>
    </row>
    <row r="172" spans="8:10">
      <c r="H172" s="20"/>
      <c r="J172" s="20"/>
    </row>
    <row r="173" spans="8:10">
      <c r="H173" s="20"/>
      <c r="J173" s="20"/>
    </row>
    <row r="174" spans="8:10">
      <c r="H174" s="20"/>
      <c r="J174" s="20"/>
    </row>
    <row r="188" spans="8:10">
      <c r="H188" s="20"/>
      <c r="J188" s="20"/>
    </row>
    <row r="203" spans="8:10">
      <c r="H203" s="20"/>
      <c r="J203" s="20"/>
    </row>
    <row r="229" spans="8:10">
      <c r="H229" s="20"/>
      <c r="J229" s="20"/>
    </row>
  </sheetData>
  <mergeCells count="4">
    <mergeCell ref="A1:L1"/>
    <mergeCell ref="B22:K22"/>
    <mergeCell ref="A3:K3"/>
    <mergeCell ref="A2:L2"/>
  </mergeCells>
  <printOptions horizontalCentered="1"/>
  <pageMargins left="0.45" right="0.45" top="0.5" bottom="0.5" header="0.3" footer="0.3"/>
  <pageSetup scale="8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66" t="s">
        <v>31</v>
      </c>
      <c r="B1" s="166"/>
      <c r="C1" s="166"/>
      <c r="D1" s="166"/>
      <c r="E1" s="166"/>
      <c r="F1" s="166"/>
      <c r="G1" s="166"/>
      <c r="H1" s="62"/>
    </row>
    <row r="2" spans="1:9" s="61" customFormat="1" ht="21">
      <c r="A2" s="167" t="s">
        <v>47</v>
      </c>
      <c r="B2" s="167"/>
      <c r="C2" s="167"/>
      <c r="D2" s="167"/>
      <c r="E2" s="167"/>
      <c r="F2" s="167"/>
      <c r="G2" s="167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68" t="s">
        <v>49</v>
      </c>
      <c r="C6" s="169"/>
      <c r="D6" s="170"/>
      <c r="E6" s="168" t="s">
        <v>48</v>
      </c>
      <c r="F6" s="168" t="s">
        <v>44</v>
      </c>
      <c r="G6" s="174" t="s">
        <v>45</v>
      </c>
      <c r="H6" s="61"/>
      <c r="I6" s="61"/>
    </row>
    <row r="7" spans="1:9" ht="23.5" customHeight="1" thickBot="1">
      <c r="A7" s="66" t="s">
        <v>32</v>
      </c>
      <c r="B7" s="171"/>
      <c r="C7" s="172"/>
      <c r="D7" s="173"/>
      <c r="E7" s="171"/>
      <c r="F7" s="171"/>
      <c r="G7" s="175"/>
      <c r="H7" s="61"/>
      <c r="I7" s="61"/>
    </row>
    <row r="8" spans="1:9" ht="40.5" customHeight="1" thickBot="1">
      <c r="A8" s="65">
        <v>1</v>
      </c>
      <c r="B8" s="163" t="s">
        <v>53</v>
      </c>
      <c r="C8" s="164"/>
      <c r="D8" s="165"/>
      <c r="E8" s="94">
        <v>50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63"/>
      <c r="C9" s="164"/>
      <c r="D9" s="165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63"/>
      <c r="C10" s="164"/>
      <c r="D10" s="165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63"/>
      <c r="C11" s="164"/>
      <c r="D11" s="165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63"/>
      <c r="C14" s="164"/>
      <c r="D14" s="165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63"/>
      <c r="C15" s="164"/>
      <c r="D15" s="165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63"/>
      <c r="C16" s="164"/>
      <c r="D16" s="165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63"/>
      <c r="C17" s="164"/>
      <c r="D17" s="165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63"/>
      <c r="C18" s="164"/>
      <c r="D18" s="165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63"/>
      <c r="C19" s="164"/>
      <c r="D19" s="165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63"/>
      <c r="C20" s="164"/>
      <c r="D20" s="165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63"/>
      <c r="C21" s="164"/>
      <c r="D21" s="165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63"/>
      <c r="C28" s="164"/>
      <c r="D28" s="165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66" t="s">
        <v>31</v>
      </c>
      <c r="B1" s="166"/>
      <c r="C1" s="166"/>
      <c r="D1" s="166"/>
      <c r="E1" s="166"/>
      <c r="F1" s="166"/>
      <c r="G1" s="166"/>
      <c r="H1" s="62"/>
    </row>
    <row r="2" spans="1:9" s="61" customFormat="1" ht="21">
      <c r="A2" s="167" t="s">
        <v>47</v>
      </c>
      <c r="B2" s="167"/>
      <c r="C2" s="167"/>
      <c r="D2" s="167"/>
      <c r="E2" s="167"/>
      <c r="F2" s="167"/>
      <c r="G2" s="167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68" t="s">
        <v>49</v>
      </c>
      <c r="C6" s="169"/>
      <c r="D6" s="170"/>
      <c r="E6" s="168" t="s">
        <v>48</v>
      </c>
      <c r="F6" s="168" t="s">
        <v>44</v>
      </c>
      <c r="G6" s="174" t="s">
        <v>45</v>
      </c>
      <c r="H6" s="61"/>
      <c r="I6" s="61"/>
    </row>
    <row r="7" spans="1:9" ht="23.5" customHeight="1" thickBot="1">
      <c r="A7" s="66" t="s">
        <v>32</v>
      </c>
      <c r="B7" s="171"/>
      <c r="C7" s="172"/>
      <c r="D7" s="173"/>
      <c r="E7" s="171"/>
      <c r="F7" s="171"/>
      <c r="G7" s="175"/>
      <c r="H7" s="61"/>
      <c r="I7" s="61"/>
    </row>
    <row r="8" spans="1:9" ht="40.5" customHeight="1" thickBot="1">
      <c r="A8" s="65">
        <v>1</v>
      </c>
      <c r="B8" s="176" t="s">
        <v>54</v>
      </c>
      <c r="C8" s="177"/>
      <c r="D8" s="178"/>
      <c r="E8" s="94">
        <f>60+50+70+80</f>
        <v>260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63"/>
      <c r="C9" s="164"/>
      <c r="D9" s="165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63"/>
      <c r="C10" s="164"/>
      <c r="D10" s="165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63"/>
      <c r="C11" s="164"/>
      <c r="D11" s="165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63"/>
      <c r="C14" s="164"/>
      <c r="D14" s="165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63"/>
      <c r="C15" s="164"/>
      <c r="D15" s="165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63"/>
      <c r="C16" s="164"/>
      <c r="D16" s="165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63"/>
      <c r="C17" s="164"/>
      <c r="D17" s="165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63"/>
      <c r="C18" s="164"/>
      <c r="D18" s="165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63"/>
      <c r="C19" s="164"/>
      <c r="D19" s="165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63"/>
      <c r="C20" s="164"/>
      <c r="D20" s="165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63"/>
      <c r="C21" s="164"/>
      <c r="D21" s="165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63"/>
      <c r="C28" s="164"/>
      <c r="D28" s="165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66" t="s">
        <v>31</v>
      </c>
      <c r="B1" s="166"/>
      <c r="C1" s="166"/>
      <c r="D1" s="166"/>
      <c r="E1" s="166"/>
      <c r="F1" s="166"/>
      <c r="G1" s="166"/>
      <c r="H1" s="62"/>
    </row>
    <row r="2" spans="1:9" s="61" customFormat="1" ht="21">
      <c r="A2" s="167" t="s">
        <v>47</v>
      </c>
      <c r="B2" s="167"/>
      <c r="C2" s="167"/>
      <c r="D2" s="167"/>
      <c r="E2" s="167"/>
      <c r="F2" s="167"/>
      <c r="G2" s="167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68" t="s">
        <v>49</v>
      </c>
      <c r="C6" s="169"/>
      <c r="D6" s="170"/>
      <c r="E6" s="168" t="s">
        <v>48</v>
      </c>
      <c r="F6" s="168" t="s">
        <v>44</v>
      </c>
      <c r="G6" s="174" t="s">
        <v>45</v>
      </c>
      <c r="H6" s="61"/>
      <c r="I6" s="61"/>
    </row>
    <row r="7" spans="1:9" ht="23.5" customHeight="1" thickBot="1">
      <c r="A7" s="66" t="s">
        <v>32</v>
      </c>
      <c r="B7" s="171"/>
      <c r="C7" s="172"/>
      <c r="D7" s="173"/>
      <c r="E7" s="171"/>
      <c r="F7" s="171"/>
      <c r="G7" s="175"/>
      <c r="H7" s="61"/>
      <c r="I7" s="61"/>
    </row>
    <row r="8" spans="1:9" ht="40.5" customHeight="1" thickBot="1">
      <c r="A8" s="65">
        <v>1</v>
      </c>
      <c r="B8" s="176" t="s">
        <v>55</v>
      </c>
      <c r="C8" s="177"/>
      <c r="D8" s="178"/>
      <c r="E8" s="94">
        <v>150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63"/>
      <c r="C9" s="164"/>
      <c r="D9" s="165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63"/>
      <c r="C10" s="164"/>
      <c r="D10" s="165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63"/>
      <c r="C11" s="164"/>
      <c r="D11" s="165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63"/>
      <c r="C14" s="164"/>
      <c r="D14" s="165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63"/>
      <c r="C15" s="164"/>
      <c r="D15" s="165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63"/>
      <c r="C16" s="164"/>
      <c r="D16" s="165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63"/>
      <c r="C17" s="164"/>
      <c r="D17" s="165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63"/>
      <c r="C18" s="164"/>
      <c r="D18" s="165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63"/>
      <c r="C19" s="164"/>
      <c r="D19" s="165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63"/>
      <c r="C20" s="164"/>
      <c r="D20" s="165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63"/>
      <c r="C21" s="164"/>
      <c r="D21" s="165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63"/>
      <c r="C28" s="164"/>
      <c r="D28" s="165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3:E11"/>
  <sheetViews>
    <sheetView showGridLines="0" topLeftCell="A4" workbookViewId="0">
      <selection activeCell="D15" sqref="D15"/>
    </sheetView>
  </sheetViews>
  <sheetFormatPr defaultRowHeight="15.5"/>
  <cols>
    <col min="1" max="1" width="8.7265625" style="1"/>
    <col min="2" max="2" width="14.6328125" style="1" customWidth="1"/>
    <col min="3" max="3" width="9.453125" style="1" bestFit="1" customWidth="1"/>
    <col min="4" max="4" width="8.7265625" style="1"/>
    <col min="5" max="5" width="16" style="1" customWidth="1"/>
    <col min="6" max="16384" width="8.7265625" style="1"/>
  </cols>
  <sheetData>
    <row r="3" spans="1:5">
      <c r="A3" s="46" t="s">
        <v>13</v>
      </c>
      <c r="B3" s="49">
        <v>2019</v>
      </c>
    </row>
    <row r="4" spans="1:5">
      <c r="A4" s="46"/>
      <c r="B4" s="49"/>
    </row>
    <row r="5" spans="1:5">
      <c r="A5" s="46" t="s">
        <v>41</v>
      </c>
    </row>
    <row r="6" spans="1:5">
      <c r="A6" s="46" t="s">
        <v>87</v>
      </c>
      <c r="B6" s="49">
        <v>4</v>
      </c>
      <c r="C6" s="1" t="str">
        <f>VLOOKUP(CurrQtr,LKQtr,2)&amp;" - "&amp;VLOOKUP(CurrQtr,LKQtr,4)</f>
        <v>October - December</v>
      </c>
    </row>
    <row r="9" spans="1:5">
      <c r="A9" s="1" t="s">
        <v>85</v>
      </c>
      <c r="E9" s="132">
        <v>129258.65</v>
      </c>
    </row>
    <row r="11" spans="1:5">
      <c r="A11" s="1" t="s">
        <v>84</v>
      </c>
      <c r="E11" s="135">
        <v>0.15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J54"/>
  <sheetViews>
    <sheetView showGridLines="0" zoomScale="80" zoomScaleNormal="80" workbookViewId="0">
      <selection activeCell="L31" sqref="L31"/>
    </sheetView>
  </sheetViews>
  <sheetFormatPr defaultRowHeight="15.5"/>
  <cols>
    <col min="1" max="1" width="3.453125" style="2" customWidth="1"/>
    <col min="2" max="2" width="13.26953125" style="2" customWidth="1"/>
    <col min="3" max="3" width="9.453125" style="2" hidden="1" customWidth="1"/>
    <col min="4" max="4" width="12.6328125" style="98" customWidth="1"/>
    <col min="5" max="5" width="32.90625" style="98" customWidth="1"/>
    <col min="6" max="6" width="10.08984375" style="2" customWidth="1"/>
    <col min="7" max="7" width="35.36328125" style="2" customWidth="1"/>
    <col min="8" max="8" width="15.90625" style="11" customWidth="1"/>
    <col min="9" max="9" width="16" style="2" customWidth="1"/>
    <col min="10" max="10" width="43.7265625" style="81" customWidth="1"/>
    <col min="11" max="11" width="9.08984375" style="2" bestFit="1" customWidth="1"/>
    <col min="12" max="16384" width="8.7265625" style="2"/>
  </cols>
  <sheetData>
    <row r="1" spans="2:10" ht="23">
      <c r="B1" s="142"/>
      <c r="C1" s="142"/>
      <c r="D1" s="142"/>
      <c r="E1" s="142"/>
      <c r="F1" s="142"/>
      <c r="G1" s="142"/>
      <c r="H1" s="142"/>
      <c r="I1" s="142"/>
      <c r="J1" s="142"/>
    </row>
    <row r="2" spans="2:10" ht="11.5" customHeight="1">
      <c r="B2" s="143"/>
      <c r="C2" s="143"/>
      <c r="D2" s="143"/>
      <c r="E2" s="143"/>
      <c r="F2" s="143"/>
      <c r="G2" s="143"/>
      <c r="H2" s="143"/>
      <c r="I2" s="143"/>
      <c r="J2" s="143"/>
    </row>
    <row r="3" spans="2:10" ht="22.5" customHeight="1">
      <c r="B3" s="145" t="s">
        <v>17</v>
      </c>
      <c r="C3" s="145" t="s">
        <v>65</v>
      </c>
      <c r="D3" s="145" t="s">
        <v>62</v>
      </c>
      <c r="E3" s="145" t="s">
        <v>63</v>
      </c>
      <c r="F3" s="145" t="s">
        <v>14</v>
      </c>
      <c r="G3" s="145" t="s">
        <v>15</v>
      </c>
      <c r="H3" s="144" t="s">
        <v>66</v>
      </c>
      <c r="I3" s="144"/>
      <c r="J3" s="57"/>
    </row>
    <row r="4" spans="2:10" ht="29" customHeight="1">
      <c r="B4" s="146"/>
      <c r="C4" s="146"/>
      <c r="D4" s="146"/>
      <c r="E4" s="146"/>
      <c r="F4" s="146"/>
      <c r="G4" s="146"/>
      <c r="H4" s="75" t="s">
        <v>5</v>
      </c>
      <c r="I4" s="75" t="s">
        <v>7</v>
      </c>
      <c r="J4" s="82" t="s">
        <v>2</v>
      </c>
    </row>
    <row r="5" spans="2:10" s="11" customFormat="1">
      <c r="B5" s="76" t="s">
        <v>20</v>
      </c>
      <c r="C5" s="77">
        <f t="shared" ref="C5:C36" si="0">IF(B5="","",VLOOKUP(B5,LKMonthName,2,0))</f>
        <v>3</v>
      </c>
      <c r="D5" s="108">
        <v>1000</v>
      </c>
      <c r="E5" s="56" t="str">
        <f t="shared" ref="E5:E36" si="1">IF($D5="","",VLOOKUP($D5,Chart,2))</f>
        <v>Fidelity Investments</v>
      </c>
      <c r="F5" s="107">
        <v>4020</v>
      </c>
      <c r="G5" s="56" t="str">
        <f t="shared" ref="G5:G36" si="2">IF($F5="","",VLOOKUP($F5,Chart,2))</f>
        <v>Change in Investment Value</v>
      </c>
      <c r="H5" s="12">
        <f>156850.66-140177.34-3035</f>
        <v>13638.320000000007</v>
      </c>
      <c r="I5" s="12"/>
      <c r="J5" s="78" t="s">
        <v>89</v>
      </c>
    </row>
    <row r="6" spans="2:10" s="11" customFormat="1">
      <c r="B6" s="76" t="s">
        <v>20</v>
      </c>
      <c r="C6" s="77">
        <f t="shared" si="0"/>
        <v>3</v>
      </c>
      <c r="D6" s="107">
        <v>1000</v>
      </c>
      <c r="E6" s="56" t="str">
        <f t="shared" si="1"/>
        <v>Fidelity Investments</v>
      </c>
      <c r="F6" s="107">
        <v>4000</v>
      </c>
      <c r="G6" s="56" t="str">
        <f t="shared" si="2"/>
        <v>Contributions (Principal Increase)</v>
      </c>
      <c r="H6" s="12">
        <v>3035</v>
      </c>
      <c r="I6" s="12"/>
      <c r="J6" s="78" t="s">
        <v>89</v>
      </c>
    </row>
    <row r="7" spans="2:10" s="11" customFormat="1">
      <c r="B7" s="76" t="s">
        <v>20</v>
      </c>
      <c r="C7" s="77">
        <f t="shared" si="0"/>
        <v>3</v>
      </c>
      <c r="D7" s="107">
        <v>1010</v>
      </c>
      <c r="E7" s="56" t="str">
        <f t="shared" si="1"/>
        <v>Johnson Bank - Checking</v>
      </c>
      <c r="F7" s="107">
        <v>4020</v>
      </c>
      <c r="G7" s="56" t="str">
        <f t="shared" si="2"/>
        <v>Change in Investment Value</v>
      </c>
      <c r="H7" s="12">
        <f>3666.25-736.25</f>
        <v>2930</v>
      </c>
      <c r="I7" s="12"/>
      <c r="J7" s="78" t="s">
        <v>89</v>
      </c>
    </row>
    <row r="8" spans="2:10" s="11" customFormat="1">
      <c r="B8" s="76" t="s">
        <v>24</v>
      </c>
      <c r="C8" s="77">
        <f t="shared" si="0"/>
        <v>7</v>
      </c>
      <c r="D8" s="107">
        <v>1000</v>
      </c>
      <c r="E8" s="56" t="str">
        <f t="shared" si="1"/>
        <v>Fidelity Investments</v>
      </c>
      <c r="F8" s="107">
        <v>4020</v>
      </c>
      <c r="G8" s="56" t="str">
        <f t="shared" si="2"/>
        <v>Change in Investment Value</v>
      </c>
      <c r="H8" s="12">
        <f>156963.95-156850.65</f>
        <v>113.30000000001746</v>
      </c>
      <c r="I8" s="12"/>
      <c r="J8" s="78" t="s">
        <v>89</v>
      </c>
    </row>
    <row r="9" spans="2:10" s="11" customFormat="1">
      <c r="B9" s="76" t="s">
        <v>24</v>
      </c>
      <c r="C9" s="77">
        <f t="shared" si="0"/>
        <v>7</v>
      </c>
      <c r="D9" s="107">
        <v>1010</v>
      </c>
      <c r="E9" s="56" t="str">
        <f t="shared" si="1"/>
        <v>Johnson Bank - Checking</v>
      </c>
      <c r="F9" s="107">
        <v>4000</v>
      </c>
      <c r="G9" s="56" t="str">
        <f t="shared" si="2"/>
        <v>Contributions (Principal Increase)</v>
      </c>
      <c r="H9" s="12">
        <f>3736.25-3666.25</f>
        <v>70</v>
      </c>
      <c r="I9" s="12"/>
      <c r="J9" s="104" t="s">
        <v>89</v>
      </c>
    </row>
    <row r="10" spans="2:10" s="11" customFormat="1">
      <c r="B10" s="76" t="s">
        <v>26</v>
      </c>
      <c r="C10" s="77">
        <f t="shared" si="0"/>
        <v>9</v>
      </c>
      <c r="D10" s="107">
        <v>1000</v>
      </c>
      <c r="E10" s="56" t="str">
        <f t="shared" si="1"/>
        <v>Fidelity Investments</v>
      </c>
      <c r="F10" s="107">
        <v>4020</v>
      </c>
      <c r="G10" s="56" t="str">
        <f t="shared" si="2"/>
        <v>Change in Investment Value</v>
      </c>
      <c r="H10" s="12">
        <v>452.99</v>
      </c>
      <c r="I10" s="12"/>
      <c r="J10" s="78" t="s">
        <v>89</v>
      </c>
    </row>
    <row r="11" spans="2:10" s="11" customFormat="1">
      <c r="B11" s="76" t="s">
        <v>27</v>
      </c>
      <c r="C11" s="77">
        <f t="shared" si="0"/>
        <v>10</v>
      </c>
      <c r="D11" s="107">
        <v>1000</v>
      </c>
      <c r="E11" s="56" t="str">
        <f t="shared" si="1"/>
        <v>Fidelity Investments</v>
      </c>
      <c r="F11" s="107">
        <v>4020</v>
      </c>
      <c r="G11" s="56" t="str">
        <f t="shared" si="2"/>
        <v>Change in Investment Value</v>
      </c>
      <c r="H11" s="12">
        <v>3057.01</v>
      </c>
      <c r="I11" s="12"/>
      <c r="J11" s="78"/>
    </row>
    <row r="12" spans="2:10" s="11" customFormat="1">
      <c r="B12" s="76" t="s">
        <v>16</v>
      </c>
      <c r="C12" s="77">
        <f t="shared" si="0"/>
        <v>11</v>
      </c>
      <c r="D12" s="107">
        <v>1000</v>
      </c>
      <c r="E12" s="56" t="str">
        <f t="shared" si="1"/>
        <v>Fidelity Investments</v>
      </c>
      <c r="F12" s="107">
        <v>4020</v>
      </c>
      <c r="G12" s="56" t="str">
        <f t="shared" si="2"/>
        <v>Change in Investment Value</v>
      </c>
      <c r="H12" s="12">
        <v>2943.78</v>
      </c>
      <c r="I12" s="12"/>
      <c r="J12" s="78" t="s">
        <v>90</v>
      </c>
    </row>
    <row r="13" spans="2:10" s="11" customFormat="1">
      <c r="B13" s="76" t="s">
        <v>28</v>
      </c>
      <c r="C13" s="77">
        <f t="shared" si="0"/>
        <v>12</v>
      </c>
      <c r="D13" s="107">
        <v>1000</v>
      </c>
      <c r="E13" s="56" t="str">
        <f t="shared" si="1"/>
        <v>Fidelity Investments</v>
      </c>
      <c r="F13" s="107">
        <v>5000</v>
      </c>
      <c r="G13" s="56" t="str">
        <f t="shared" si="2"/>
        <v>Grants</v>
      </c>
      <c r="H13" s="12"/>
      <c r="I13" s="12">
        <v>2000</v>
      </c>
      <c r="J13" s="78" t="s">
        <v>91</v>
      </c>
    </row>
    <row r="14" spans="2:10" s="11" customFormat="1" ht="31">
      <c r="B14" s="76" t="s">
        <v>28</v>
      </c>
      <c r="C14" s="77">
        <f t="shared" si="0"/>
        <v>12</v>
      </c>
      <c r="D14" s="107">
        <v>1000</v>
      </c>
      <c r="E14" s="56" t="str">
        <f t="shared" si="1"/>
        <v>Fidelity Investments</v>
      </c>
      <c r="F14" s="107">
        <v>5000</v>
      </c>
      <c r="G14" s="56" t="str">
        <f t="shared" si="2"/>
        <v>Grants</v>
      </c>
      <c r="H14" s="12"/>
      <c r="I14" s="12">
        <v>1000</v>
      </c>
      <c r="J14" s="78" t="s">
        <v>92</v>
      </c>
    </row>
    <row r="15" spans="2:10" s="11" customFormat="1" ht="31">
      <c r="B15" s="76" t="s">
        <v>28</v>
      </c>
      <c r="C15" s="77">
        <f t="shared" si="0"/>
        <v>12</v>
      </c>
      <c r="D15" s="107">
        <v>1000</v>
      </c>
      <c r="E15" s="56" t="str">
        <f t="shared" si="1"/>
        <v>Fidelity Investments</v>
      </c>
      <c r="F15" s="107">
        <v>5000</v>
      </c>
      <c r="G15" s="56" t="str">
        <f t="shared" si="2"/>
        <v>Grants</v>
      </c>
      <c r="H15" s="12"/>
      <c r="I15" s="12">
        <v>2000</v>
      </c>
      <c r="J15" s="78" t="s">
        <v>93</v>
      </c>
    </row>
    <row r="16" spans="2:10" s="11" customFormat="1" ht="31">
      <c r="B16" s="76" t="s">
        <v>28</v>
      </c>
      <c r="C16" s="77">
        <f t="shared" si="0"/>
        <v>12</v>
      </c>
      <c r="D16" s="107">
        <v>1000</v>
      </c>
      <c r="E16" s="56" t="str">
        <f t="shared" si="1"/>
        <v>Fidelity Investments</v>
      </c>
      <c r="F16" s="107">
        <v>5000</v>
      </c>
      <c r="G16" s="56" t="str">
        <f t="shared" si="2"/>
        <v>Grants</v>
      </c>
      <c r="H16" s="12"/>
      <c r="I16" s="12">
        <v>3000</v>
      </c>
      <c r="J16" s="78" t="s">
        <v>94</v>
      </c>
    </row>
    <row r="17" spans="2:10" s="11" customFormat="1" ht="31">
      <c r="B17" s="76" t="s">
        <v>28</v>
      </c>
      <c r="C17" s="77">
        <f t="shared" si="0"/>
        <v>12</v>
      </c>
      <c r="D17" s="107">
        <v>1000</v>
      </c>
      <c r="E17" s="56" t="str">
        <f t="shared" si="1"/>
        <v>Fidelity Investments</v>
      </c>
      <c r="F17" s="107">
        <v>5000</v>
      </c>
      <c r="G17" s="56" t="str">
        <f t="shared" si="2"/>
        <v>Grants</v>
      </c>
      <c r="H17" s="12"/>
      <c r="I17" s="12">
        <v>1000</v>
      </c>
      <c r="J17" s="78" t="s">
        <v>95</v>
      </c>
    </row>
    <row r="18" spans="2:10" s="11" customFormat="1">
      <c r="B18" s="76" t="s">
        <v>28</v>
      </c>
      <c r="C18" s="77">
        <f t="shared" si="0"/>
        <v>12</v>
      </c>
      <c r="D18" s="107">
        <v>1000</v>
      </c>
      <c r="E18" s="56" t="str">
        <f t="shared" si="1"/>
        <v>Fidelity Investments</v>
      </c>
      <c r="F18" s="107">
        <v>4020</v>
      </c>
      <c r="G18" s="56" t="str">
        <f t="shared" si="2"/>
        <v>Change in Investment Value</v>
      </c>
      <c r="H18" s="12">
        <v>3978.13</v>
      </c>
      <c r="I18" s="12"/>
      <c r="J18" s="78" t="s">
        <v>100</v>
      </c>
    </row>
    <row r="19" spans="2:10" s="11" customFormat="1">
      <c r="B19" s="76"/>
      <c r="C19" s="77" t="str">
        <f t="shared" si="0"/>
        <v/>
      </c>
      <c r="D19" s="107"/>
      <c r="E19" s="56" t="str">
        <f t="shared" si="1"/>
        <v/>
      </c>
      <c r="F19" s="107"/>
      <c r="G19" s="56" t="str">
        <f t="shared" si="2"/>
        <v/>
      </c>
      <c r="H19" s="12"/>
      <c r="I19" s="12"/>
      <c r="J19" s="78"/>
    </row>
    <row r="20" spans="2:10" s="11" customFormat="1">
      <c r="B20" s="76"/>
      <c r="C20" s="77" t="str">
        <f t="shared" si="0"/>
        <v/>
      </c>
      <c r="D20" s="107"/>
      <c r="E20" s="56" t="str">
        <f t="shared" si="1"/>
        <v/>
      </c>
      <c r="F20" s="107"/>
      <c r="G20" s="56" t="str">
        <f t="shared" si="2"/>
        <v/>
      </c>
      <c r="H20" s="12"/>
      <c r="I20" s="12"/>
      <c r="J20" s="78"/>
    </row>
    <row r="21" spans="2:10" s="11" customFormat="1">
      <c r="B21" s="76"/>
      <c r="C21" s="77" t="str">
        <f t="shared" si="0"/>
        <v/>
      </c>
      <c r="D21" s="107"/>
      <c r="E21" s="56" t="str">
        <f t="shared" si="1"/>
        <v/>
      </c>
      <c r="F21" s="107"/>
      <c r="G21" s="56" t="str">
        <f t="shared" si="2"/>
        <v/>
      </c>
      <c r="H21" s="12"/>
      <c r="I21" s="12"/>
      <c r="J21" s="78"/>
    </row>
    <row r="22" spans="2:10" s="11" customFormat="1">
      <c r="B22" s="76"/>
      <c r="C22" s="77" t="str">
        <f t="shared" si="0"/>
        <v/>
      </c>
      <c r="D22" s="107"/>
      <c r="E22" s="56" t="str">
        <f t="shared" si="1"/>
        <v/>
      </c>
      <c r="F22" s="107"/>
      <c r="G22" s="56" t="str">
        <f t="shared" si="2"/>
        <v/>
      </c>
      <c r="H22" s="12"/>
      <c r="I22" s="12"/>
      <c r="J22" s="78"/>
    </row>
    <row r="23" spans="2:10" s="11" customFormat="1">
      <c r="B23" s="76"/>
      <c r="C23" s="77" t="str">
        <f t="shared" si="0"/>
        <v/>
      </c>
      <c r="D23" s="107"/>
      <c r="E23" s="56" t="str">
        <f t="shared" si="1"/>
        <v/>
      </c>
      <c r="F23" s="107"/>
      <c r="G23" s="56" t="str">
        <f t="shared" si="2"/>
        <v/>
      </c>
      <c r="H23" s="12"/>
      <c r="I23" s="12"/>
      <c r="J23" s="78"/>
    </row>
    <row r="24" spans="2:10" s="11" customFormat="1">
      <c r="B24" s="76"/>
      <c r="C24" s="77" t="str">
        <f t="shared" si="0"/>
        <v/>
      </c>
      <c r="D24" s="107"/>
      <c r="E24" s="56" t="str">
        <f t="shared" si="1"/>
        <v/>
      </c>
      <c r="F24" s="107"/>
      <c r="G24" s="56" t="str">
        <f t="shared" si="2"/>
        <v/>
      </c>
      <c r="H24" s="12"/>
      <c r="I24" s="12"/>
      <c r="J24" s="78"/>
    </row>
    <row r="25" spans="2:10" s="11" customFormat="1">
      <c r="B25" s="76"/>
      <c r="C25" s="77" t="str">
        <f t="shared" si="0"/>
        <v/>
      </c>
      <c r="D25" s="107"/>
      <c r="E25" s="56" t="str">
        <f t="shared" si="1"/>
        <v/>
      </c>
      <c r="F25" s="107"/>
      <c r="G25" s="56" t="str">
        <f t="shared" si="2"/>
        <v/>
      </c>
      <c r="H25" s="12"/>
      <c r="I25" s="12"/>
      <c r="J25" s="78"/>
    </row>
    <row r="26" spans="2:10" s="11" customFormat="1">
      <c r="B26" s="76"/>
      <c r="C26" s="77" t="str">
        <f t="shared" si="0"/>
        <v/>
      </c>
      <c r="D26" s="107"/>
      <c r="E26" s="56" t="str">
        <f t="shared" si="1"/>
        <v/>
      </c>
      <c r="F26" s="107"/>
      <c r="G26" s="56" t="str">
        <f t="shared" si="2"/>
        <v/>
      </c>
      <c r="H26" s="12"/>
      <c r="I26" s="12"/>
      <c r="J26" s="78"/>
    </row>
    <row r="27" spans="2:10" s="11" customFormat="1">
      <c r="B27" s="76"/>
      <c r="C27" s="77" t="str">
        <f t="shared" si="0"/>
        <v/>
      </c>
      <c r="D27" s="107"/>
      <c r="E27" s="56" t="str">
        <f t="shared" si="1"/>
        <v/>
      </c>
      <c r="F27" s="107"/>
      <c r="G27" s="56" t="str">
        <f t="shared" si="2"/>
        <v/>
      </c>
      <c r="H27" s="12"/>
      <c r="I27" s="12"/>
      <c r="J27" s="78"/>
    </row>
    <row r="28" spans="2:10" s="11" customFormat="1">
      <c r="B28" s="76"/>
      <c r="C28" s="77" t="str">
        <f t="shared" si="0"/>
        <v/>
      </c>
      <c r="D28" s="107"/>
      <c r="E28" s="56" t="str">
        <f t="shared" si="1"/>
        <v/>
      </c>
      <c r="F28" s="107"/>
      <c r="G28" s="56" t="str">
        <f t="shared" si="2"/>
        <v/>
      </c>
      <c r="H28" s="12"/>
      <c r="I28" s="12"/>
      <c r="J28" s="78"/>
    </row>
    <row r="29" spans="2:10" s="11" customFormat="1">
      <c r="B29" s="76"/>
      <c r="C29" s="77" t="str">
        <f t="shared" si="0"/>
        <v/>
      </c>
      <c r="D29" s="107"/>
      <c r="E29" s="56" t="str">
        <f t="shared" si="1"/>
        <v/>
      </c>
      <c r="F29" s="107"/>
      <c r="G29" s="56" t="str">
        <f t="shared" si="2"/>
        <v/>
      </c>
      <c r="H29" s="12"/>
      <c r="I29" s="12"/>
      <c r="J29" s="78"/>
    </row>
    <row r="30" spans="2:10" s="11" customFormat="1">
      <c r="B30" s="76"/>
      <c r="C30" s="77" t="str">
        <f t="shared" si="0"/>
        <v/>
      </c>
      <c r="D30" s="107"/>
      <c r="E30" s="56" t="str">
        <f t="shared" si="1"/>
        <v/>
      </c>
      <c r="F30" s="107"/>
      <c r="G30" s="56" t="str">
        <f t="shared" si="2"/>
        <v/>
      </c>
      <c r="H30" s="12"/>
      <c r="I30" s="12"/>
      <c r="J30" s="78"/>
    </row>
    <row r="31" spans="2:10" s="11" customFormat="1">
      <c r="B31" s="76"/>
      <c r="C31" s="77" t="str">
        <f t="shared" si="0"/>
        <v/>
      </c>
      <c r="D31" s="107"/>
      <c r="E31" s="56" t="str">
        <f t="shared" si="1"/>
        <v/>
      </c>
      <c r="F31" s="107"/>
      <c r="G31" s="56" t="str">
        <f t="shared" si="2"/>
        <v/>
      </c>
      <c r="H31" s="12"/>
      <c r="I31" s="12"/>
      <c r="J31" s="78"/>
    </row>
    <row r="32" spans="2:10" s="11" customFormat="1">
      <c r="B32" s="76"/>
      <c r="C32" s="77" t="str">
        <f t="shared" si="0"/>
        <v/>
      </c>
      <c r="D32" s="107"/>
      <c r="E32" s="56" t="str">
        <f t="shared" si="1"/>
        <v/>
      </c>
      <c r="F32" s="107"/>
      <c r="G32" s="56" t="str">
        <f t="shared" si="2"/>
        <v/>
      </c>
      <c r="H32" s="12"/>
      <c r="I32" s="12"/>
      <c r="J32" s="78"/>
    </row>
    <row r="33" spans="2:10" s="11" customFormat="1">
      <c r="B33" s="76"/>
      <c r="C33" s="77" t="str">
        <f t="shared" si="0"/>
        <v/>
      </c>
      <c r="D33" s="107"/>
      <c r="E33" s="56" t="str">
        <f t="shared" si="1"/>
        <v/>
      </c>
      <c r="F33" s="107"/>
      <c r="G33" s="56" t="str">
        <f t="shared" si="2"/>
        <v/>
      </c>
      <c r="H33" s="12"/>
      <c r="I33" s="12"/>
      <c r="J33" s="78"/>
    </row>
    <row r="34" spans="2:10" s="11" customFormat="1">
      <c r="B34" s="76"/>
      <c r="C34" s="77" t="str">
        <f t="shared" si="0"/>
        <v/>
      </c>
      <c r="D34" s="107"/>
      <c r="E34" s="56" t="str">
        <f t="shared" si="1"/>
        <v/>
      </c>
      <c r="F34" s="107"/>
      <c r="G34" s="56" t="str">
        <f t="shared" si="2"/>
        <v/>
      </c>
      <c r="H34" s="12"/>
      <c r="I34" s="12"/>
      <c r="J34" s="78"/>
    </row>
    <row r="35" spans="2:10" s="11" customFormat="1">
      <c r="B35" s="76"/>
      <c r="C35" s="77" t="str">
        <f t="shared" si="0"/>
        <v/>
      </c>
      <c r="D35" s="107"/>
      <c r="E35" s="56" t="str">
        <f t="shared" si="1"/>
        <v/>
      </c>
      <c r="F35" s="107"/>
      <c r="G35" s="56" t="str">
        <f t="shared" si="2"/>
        <v/>
      </c>
      <c r="H35" s="12"/>
      <c r="I35" s="12"/>
      <c r="J35" s="78"/>
    </row>
    <row r="36" spans="2:10" s="11" customFormat="1">
      <c r="B36" s="76"/>
      <c r="C36" s="77" t="str">
        <f t="shared" si="0"/>
        <v/>
      </c>
      <c r="D36" s="107"/>
      <c r="E36" s="56" t="str">
        <f t="shared" si="1"/>
        <v/>
      </c>
      <c r="F36" s="107"/>
      <c r="G36" s="56" t="str">
        <f t="shared" si="2"/>
        <v/>
      </c>
      <c r="H36" s="13"/>
      <c r="I36" s="13"/>
      <c r="J36" s="78"/>
    </row>
    <row r="37" spans="2:10" ht="6.5" customHeight="1">
      <c r="B37" s="50"/>
      <c r="C37" s="52"/>
      <c r="D37" s="52"/>
      <c r="E37" s="52"/>
      <c r="F37" s="53"/>
      <c r="G37" s="54"/>
      <c r="H37" s="55"/>
      <c r="I37" s="55"/>
      <c r="J37" s="79"/>
    </row>
    <row r="38" spans="2:10">
      <c r="B38" s="4"/>
      <c r="C38" s="4"/>
      <c r="D38" s="4"/>
      <c r="E38" s="4"/>
      <c r="F38" s="4"/>
      <c r="G38" s="4"/>
      <c r="H38" s="14">
        <f>SUM(H5:H37)</f>
        <v>30218.530000000024</v>
      </c>
      <c r="I38" s="14">
        <f>SUM(I5:I37)</f>
        <v>9000</v>
      </c>
      <c r="J38" s="80"/>
    </row>
    <row r="41" spans="2:10">
      <c r="H41" s="98"/>
    </row>
    <row r="54" spans="9:9">
      <c r="I54" s="11"/>
    </row>
  </sheetData>
  <autoFilter ref="B4:J36">
    <filterColumn colId="2"/>
    <filterColumn colId="3"/>
    <filterColumn colId="4"/>
  </autoFilter>
  <mergeCells count="9">
    <mergeCell ref="B1:J1"/>
    <mergeCell ref="B2:J2"/>
    <mergeCell ref="H3:I3"/>
    <mergeCell ref="C3:C4"/>
    <mergeCell ref="D3:D4"/>
    <mergeCell ref="F3:F4"/>
    <mergeCell ref="G3:G4"/>
    <mergeCell ref="E3:E4"/>
    <mergeCell ref="B3:B4"/>
  </mergeCells>
  <dataValidations count="3">
    <dataValidation type="list" allowBlank="1" showInputMessage="1" showErrorMessage="1" sqref="F37">
      <formula1>AcctNumber</formula1>
    </dataValidation>
    <dataValidation type="list" allowBlank="1" showInputMessage="1" showErrorMessage="1" sqref="F5:F36">
      <formula1>Accounts</formula1>
    </dataValidation>
    <dataValidation type="list" allowBlank="1" showInputMessage="1" showErrorMessage="1" sqref="B5:B37">
      <formula1>MonthName</formula1>
    </dataValidation>
  </dataValidations>
  <pageMargins left="0.2" right="0.2" top="0.25" bottom="0.5" header="0.3" footer="0.25"/>
  <pageSetup scale="73" fitToHeight="0" orientation="landscape" r:id="rId1"/>
  <headerFooter>
    <oddFooter>&amp;L&amp;D&amp;RPage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tabColor rgb="FFFFC000"/>
    <pageSetUpPr fitToPage="1"/>
  </sheetPr>
  <dimension ref="A1:Q156"/>
  <sheetViews>
    <sheetView showGridLines="0" tabSelected="1" workbookViewId="0">
      <selection activeCell="E29" sqref="E29"/>
    </sheetView>
  </sheetViews>
  <sheetFormatPr defaultRowHeight="15.5"/>
  <cols>
    <col min="1" max="1" width="25.81640625" style="2" customWidth="1"/>
    <col min="2" max="2" width="6.26953125" style="98" hidden="1" customWidth="1"/>
    <col min="3" max="3" width="14.26953125" style="1" customWidth="1"/>
    <col min="4" max="4" width="14.54296875" style="1" customWidth="1"/>
    <col min="5" max="5" width="16.6328125" style="1" customWidth="1"/>
    <col min="6" max="6" width="14.08984375" style="1" customWidth="1"/>
    <col min="7" max="7" width="13.81640625" style="1" customWidth="1"/>
    <col min="8" max="8" width="16.6328125" style="1" customWidth="1"/>
    <col min="9" max="10" width="12.7265625" style="1" customWidth="1"/>
    <col min="11" max="11" width="16.6328125" style="1" customWidth="1"/>
    <col min="12" max="12" width="2.1796875" style="1" customWidth="1"/>
    <col min="13" max="13" width="16.26953125" style="1" customWidth="1"/>
    <col min="14" max="14" width="13.81640625" style="1" customWidth="1"/>
    <col min="15" max="15" width="16.6328125" style="1" customWidth="1"/>
    <col min="16" max="16" width="13.26953125" style="1" bestFit="1" customWidth="1"/>
    <col min="17" max="17" width="10.81640625" style="1" bestFit="1" customWidth="1"/>
    <col min="18" max="16384" width="8.7265625" style="1"/>
  </cols>
  <sheetData>
    <row r="1" spans="1:17" ht="16" thickBot="1">
      <c r="A1" s="152"/>
      <c r="B1" s="152"/>
      <c r="C1" s="152"/>
      <c r="D1" s="152"/>
      <c r="E1" s="152"/>
      <c r="F1" s="152"/>
      <c r="G1" s="152"/>
      <c r="H1" s="152"/>
      <c r="L1" s="20"/>
      <c r="M1" s="20"/>
      <c r="N1" s="20"/>
    </row>
    <row r="2" spans="1:17" ht="16" thickBot="1">
      <c r="A2" s="127" t="s">
        <v>14</v>
      </c>
      <c r="B2" s="128"/>
      <c r="C2" s="130">
        <v>1000</v>
      </c>
      <c r="D2" s="129"/>
      <c r="E2" s="129"/>
      <c r="F2" s="130">
        <v>1010</v>
      </c>
      <c r="G2" s="129"/>
      <c r="H2" s="129"/>
      <c r="I2" s="131">
        <v>1020</v>
      </c>
      <c r="L2" s="20"/>
      <c r="M2" s="133">
        <v>4000</v>
      </c>
      <c r="N2" s="131">
        <v>5050</v>
      </c>
    </row>
    <row r="3" spans="1:17" ht="16" thickBot="1">
      <c r="C3" s="155" t="str">
        <f>VLOOKUP(C$2,Chart,2)</f>
        <v>Fidelity Investments</v>
      </c>
      <c r="D3" s="156"/>
      <c r="E3" s="157"/>
      <c r="F3" s="155" t="str">
        <f>VLOOKUP(F$2,Chart,2)</f>
        <v>Johnson Bank - Checking</v>
      </c>
      <c r="G3" s="156"/>
      <c r="H3" s="157"/>
      <c r="I3" s="155" t="str">
        <f>VLOOKUP(I$2,Chart,2)</f>
        <v>Racine Community Foundation</v>
      </c>
      <c r="J3" s="148"/>
      <c r="K3" s="149"/>
      <c r="L3" s="67"/>
      <c r="M3" s="147" t="s">
        <v>80</v>
      </c>
      <c r="N3" s="148"/>
      <c r="O3" s="149"/>
    </row>
    <row r="4" spans="1:17">
      <c r="A4" s="15" t="s">
        <v>1</v>
      </c>
      <c r="B4" s="117"/>
      <c r="C4" s="153" t="s">
        <v>8</v>
      </c>
      <c r="D4" s="150" t="s">
        <v>6</v>
      </c>
      <c r="E4" s="5" t="s">
        <v>3</v>
      </c>
      <c r="F4" s="153" t="s">
        <v>8</v>
      </c>
      <c r="G4" s="150" t="s">
        <v>6</v>
      </c>
      <c r="H4" s="5" t="s">
        <v>3</v>
      </c>
      <c r="I4" s="153" t="s">
        <v>8</v>
      </c>
      <c r="J4" s="150" t="s">
        <v>6</v>
      </c>
      <c r="K4" s="5" t="s">
        <v>3</v>
      </c>
      <c r="L4" s="158"/>
      <c r="M4" s="159" t="str">
        <f>LEFT(VLOOKUP(M2,Accounts,2),13)</f>
        <v>Contributions</v>
      </c>
      <c r="N4" s="150" t="str">
        <f>LEFT(VLOOKUP(N2,Accounts,2),10)</f>
        <v>Reductions</v>
      </c>
      <c r="O4" s="5" t="s">
        <v>3</v>
      </c>
    </row>
    <row r="5" spans="1:17" ht="14.5" customHeight="1">
      <c r="A5" s="115" t="s">
        <v>4</v>
      </c>
      <c r="B5" s="119">
        <v>0</v>
      </c>
      <c r="C5" s="154"/>
      <c r="D5" s="151"/>
      <c r="E5" s="6">
        <v>140177.34</v>
      </c>
      <c r="F5" s="154"/>
      <c r="G5" s="151"/>
      <c r="H5" s="6">
        <v>736.25</v>
      </c>
      <c r="I5" s="154"/>
      <c r="J5" s="151"/>
      <c r="K5" s="6">
        <v>21916.78</v>
      </c>
      <c r="L5" s="158"/>
      <c r="M5" s="160"/>
      <c r="N5" s="151"/>
      <c r="O5" s="6">
        <v>126153.65</v>
      </c>
    </row>
    <row r="6" spans="1:17">
      <c r="A6" s="16" t="str">
        <f>VLOOKUP(1,LKQtr,2)</f>
        <v>January</v>
      </c>
      <c r="B6" s="118">
        <v>1</v>
      </c>
      <c r="C6" s="59">
        <f t="shared" ref="C6:C17" si="0">SUMIFS(SumRevenue,SumMonth,$A6,SumBank,C$2)</f>
        <v>0</v>
      </c>
      <c r="D6" s="59">
        <f t="shared" ref="D6:D17" si="1">SUMIFS(SumExp,SumMonth,$A6,SumBank,C$2)</f>
        <v>0</v>
      </c>
      <c r="E6" s="7">
        <f>+E5+C6-D6</f>
        <v>140177.34</v>
      </c>
      <c r="F6" s="59">
        <f t="shared" ref="F6:F17" si="2">SUMIFS(SumRevenue,SumMonth,$A6,SumBank,F$2)</f>
        <v>0</v>
      </c>
      <c r="G6" s="59">
        <f t="shared" ref="G6:G17" si="3">SUMIFS(SumExp,SumMonth,$A6,SumBank,F$2)</f>
        <v>0</v>
      </c>
      <c r="H6" s="7">
        <f>+H5+F6-G6</f>
        <v>736.25</v>
      </c>
      <c r="I6" s="59">
        <f t="shared" ref="I6:I17" si="4">SUMIFS(SumRevenue,SumMonth,$A6,SumBank,I$2)</f>
        <v>0</v>
      </c>
      <c r="J6" s="59">
        <f t="shared" ref="J6:J17" si="5">SUMIFS(SumExp,SumMonth,$A6,SumBank,I$2)</f>
        <v>0</v>
      </c>
      <c r="K6" s="7">
        <f>+K5+I6-J6</f>
        <v>21916.78</v>
      </c>
      <c r="L6" s="109"/>
      <c r="M6" s="59">
        <f t="shared" ref="M6:M17" si="6">SUMIFS(SumRevenue,SumMonth,$A6,SumAccount,M$2)</f>
        <v>0</v>
      </c>
      <c r="N6" s="59">
        <f t="shared" ref="N6:N17" si="7">SUMIFS(SumExp,SumMonth,$A6,SumAccount,N$2)</f>
        <v>0</v>
      </c>
      <c r="O6" s="7">
        <f>+O5+M6-N6</f>
        <v>126153.65</v>
      </c>
    </row>
    <row r="7" spans="1:17">
      <c r="A7" s="16" t="str">
        <f>VLOOKUP(1,LKQtr,3)</f>
        <v>February</v>
      </c>
      <c r="B7" s="118">
        <v>2</v>
      </c>
      <c r="C7" s="59">
        <f t="shared" si="0"/>
        <v>0</v>
      </c>
      <c r="D7" s="59">
        <f t="shared" si="1"/>
        <v>0</v>
      </c>
      <c r="E7" s="7">
        <f t="shared" ref="E7:E17" si="8">+E6+C7-D7</f>
        <v>140177.34</v>
      </c>
      <c r="F7" s="59">
        <f t="shared" si="2"/>
        <v>0</v>
      </c>
      <c r="G7" s="59">
        <f t="shared" si="3"/>
        <v>0</v>
      </c>
      <c r="H7" s="7">
        <f t="shared" ref="H7:H15" si="9">+H6+F7-G7</f>
        <v>736.25</v>
      </c>
      <c r="I7" s="59">
        <f t="shared" si="4"/>
        <v>0</v>
      </c>
      <c r="J7" s="59">
        <f t="shared" si="5"/>
        <v>0</v>
      </c>
      <c r="K7" s="7">
        <f t="shared" ref="K7:K15" si="10">+K6+I7-J7</f>
        <v>21916.78</v>
      </c>
      <c r="L7" s="109"/>
      <c r="M7" s="59">
        <f t="shared" si="6"/>
        <v>0</v>
      </c>
      <c r="N7" s="59">
        <f t="shared" si="7"/>
        <v>0</v>
      </c>
      <c r="O7" s="7">
        <f t="shared" ref="O7:O15" si="11">+O6+M7-N7</f>
        <v>126153.65</v>
      </c>
    </row>
    <row r="8" spans="1:17">
      <c r="A8" s="16" t="str">
        <f>VLOOKUP(1,LKQtr,4)</f>
        <v>March</v>
      </c>
      <c r="B8" s="118">
        <v>3</v>
      </c>
      <c r="C8" s="59">
        <f t="shared" si="0"/>
        <v>16673.320000000007</v>
      </c>
      <c r="D8" s="59">
        <f t="shared" si="1"/>
        <v>0</v>
      </c>
      <c r="E8" s="7">
        <f t="shared" si="8"/>
        <v>156850.66</v>
      </c>
      <c r="F8" s="59">
        <f t="shared" si="2"/>
        <v>2930</v>
      </c>
      <c r="G8" s="59">
        <f t="shared" si="3"/>
        <v>0</v>
      </c>
      <c r="H8" s="7">
        <f t="shared" si="9"/>
        <v>3666.25</v>
      </c>
      <c r="I8" s="59">
        <f t="shared" si="4"/>
        <v>0</v>
      </c>
      <c r="J8" s="59">
        <f t="shared" si="5"/>
        <v>0</v>
      </c>
      <c r="K8" s="7">
        <f t="shared" si="10"/>
        <v>21916.78</v>
      </c>
      <c r="L8" s="109"/>
      <c r="M8" s="59">
        <f t="shared" si="6"/>
        <v>3035</v>
      </c>
      <c r="N8" s="59">
        <f t="shared" si="7"/>
        <v>0</v>
      </c>
      <c r="O8" s="7">
        <f t="shared" si="11"/>
        <v>129188.65</v>
      </c>
    </row>
    <row r="9" spans="1:17">
      <c r="A9" s="16" t="str">
        <f>VLOOKUP(2,LKQtr,2)</f>
        <v>April</v>
      </c>
      <c r="B9" s="118">
        <v>4</v>
      </c>
      <c r="C9" s="59">
        <f t="shared" si="0"/>
        <v>0</v>
      </c>
      <c r="D9" s="59">
        <f t="shared" si="1"/>
        <v>0</v>
      </c>
      <c r="E9" s="7">
        <f t="shared" si="8"/>
        <v>156850.66</v>
      </c>
      <c r="F9" s="59">
        <f t="shared" si="2"/>
        <v>0</v>
      </c>
      <c r="G9" s="59">
        <f t="shared" si="3"/>
        <v>0</v>
      </c>
      <c r="H9" s="7">
        <f t="shared" si="9"/>
        <v>3666.25</v>
      </c>
      <c r="I9" s="59">
        <f t="shared" si="4"/>
        <v>0</v>
      </c>
      <c r="J9" s="59">
        <f t="shared" si="5"/>
        <v>0</v>
      </c>
      <c r="K9" s="7">
        <f t="shared" si="10"/>
        <v>21916.78</v>
      </c>
      <c r="L9" s="109"/>
      <c r="M9" s="59">
        <f t="shared" si="6"/>
        <v>0</v>
      </c>
      <c r="N9" s="59">
        <f t="shared" si="7"/>
        <v>0</v>
      </c>
      <c r="O9" s="7">
        <f t="shared" si="11"/>
        <v>129188.65</v>
      </c>
    </row>
    <row r="10" spans="1:17">
      <c r="A10" s="16" t="str">
        <f>VLOOKUP(2,LKQtr,3)</f>
        <v>May</v>
      </c>
      <c r="B10" s="118">
        <v>5</v>
      </c>
      <c r="C10" s="59">
        <f t="shared" si="0"/>
        <v>0</v>
      </c>
      <c r="D10" s="59">
        <f t="shared" si="1"/>
        <v>0</v>
      </c>
      <c r="E10" s="7">
        <f t="shared" si="8"/>
        <v>156850.66</v>
      </c>
      <c r="F10" s="59">
        <f t="shared" si="2"/>
        <v>0</v>
      </c>
      <c r="G10" s="59">
        <f t="shared" si="3"/>
        <v>0</v>
      </c>
      <c r="H10" s="7">
        <f t="shared" si="9"/>
        <v>3666.25</v>
      </c>
      <c r="I10" s="59">
        <f t="shared" si="4"/>
        <v>0</v>
      </c>
      <c r="J10" s="59">
        <f t="shared" si="5"/>
        <v>0</v>
      </c>
      <c r="K10" s="7">
        <f t="shared" si="10"/>
        <v>21916.78</v>
      </c>
      <c r="L10" s="109"/>
      <c r="M10" s="59">
        <f t="shared" si="6"/>
        <v>0</v>
      </c>
      <c r="N10" s="59">
        <f t="shared" si="7"/>
        <v>0</v>
      </c>
      <c r="O10" s="7">
        <f t="shared" si="11"/>
        <v>129188.65</v>
      </c>
    </row>
    <row r="11" spans="1:17">
      <c r="A11" s="16" t="str">
        <f>VLOOKUP(2,LKQtr,4)</f>
        <v>June</v>
      </c>
      <c r="B11" s="118">
        <v>6</v>
      </c>
      <c r="C11" s="59">
        <f t="shared" si="0"/>
        <v>0</v>
      </c>
      <c r="D11" s="59">
        <f t="shared" si="1"/>
        <v>0</v>
      </c>
      <c r="E11" s="7">
        <f t="shared" si="8"/>
        <v>156850.66</v>
      </c>
      <c r="F11" s="59">
        <f t="shared" si="2"/>
        <v>0</v>
      </c>
      <c r="G11" s="59">
        <f t="shared" si="3"/>
        <v>0</v>
      </c>
      <c r="H11" s="7">
        <f t="shared" si="9"/>
        <v>3666.25</v>
      </c>
      <c r="I11" s="59">
        <f t="shared" si="4"/>
        <v>0</v>
      </c>
      <c r="J11" s="59">
        <f t="shared" si="5"/>
        <v>0</v>
      </c>
      <c r="K11" s="7">
        <f t="shared" si="10"/>
        <v>21916.78</v>
      </c>
      <c r="L11" s="109"/>
      <c r="M11" s="59">
        <f t="shared" si="6"/>
        <v>0</v>
      </c>
      <c r="N11" s="59">
        <f t="shared" si="7"/>
        <v>0</v>
      </c>
      <c r="O11" s="7">
        <f t="shared" si="11"/>
        <v>129188.65</v>
      </c>
    </row>
    <row r="12" spans="1:17">
      <c r="A12" s="16" t="str">
        <f>VLOOKUP(3,LKQtr,2)</f>
        <v>July</v>
      </c>
      <c r="B12" s="118">
        <v>7</v>
      </c>
      <c r="C12" s="59">
        <f t="shared" si="0"/>
        <v>113.30000000001746</v>
      </c>
      <c r="D12" s="59">
        <f t="shared" si="1"/>
        <v>0</v>
      </c>
      <c r="E12" s="7">
        <f t="shared" si="8"/>
        <v>156963.96000000002</v>
      </c>
      <c r="F12" s="59">
        <f t="shared" si="2"/>
        <v>70</v>
      </c>
      <c r="G12" s="59">
        <f t="shared" si="3"/>
        <v>0</v>
      </c>
      <c r="H12" s="7">
        <f t="shared" si="9"/>
        <v>3736.25</v>
      </c>
      <c r="I12" s="59">
        <f t="shared" si="4"/>
        <v>0</v>
      </c>
      <c r="J12" s="59">
        <f t="shared" si="5"/>
        <v>0</v>
      </c>
      <c r="K12" s="7">
        <f t="shared" si="10"/>
        <v>21916.78</v>
      </c>
      <c r="L12" s="109"/>
      <c r="M12" s="59">
        <f t="shared" si="6"/>
        <v>70</v>
      </c>
      <c r="N12" s="59">
        <f t="shared" si="7"/>
        <v>0</v>
      </c>
      <c r="O12" s="7">
        <f t="shared" si="11"/>
        <v>129258.65</v>
      </c>
      <c r="Q12" s="139"/>
    </row>
    <row r="13" spans="1:17">
      <c r="A13" s="16" t="str">
        <f>VLOOKUP(3,LKQtr,3)</f>
        <v>August</v>
      </c>
      <c r="B13" s="118">
        <v>8</v>
      </c>
      <c r="C13" s="59">
        <f t="shared" si="0"/>
        <v>0</v>
      </c>
      <c r="D13" s="59">
        <f t="shared" si="1"/>
        <v>0</v>
      </c>
      <c r="E13" s="7">
        <f t="shared" si="8"/>
        <v>156963.96000000002</v>
      </c>
      <c r="F13" s="59">
        <f t="shared" si="2"/>
        <v>0</v>
      </c>
      <c r="G13" s="59">
        <f t="shared" si="3"/>
        <v>0</v>
      </c>
      <c r="H13" s="7">
        <f t="shared" si="9"/>
        <v>3736.25</v>
      </c>
      <c r="I13" s="59">
        <f t="shared" si="4"/>
        <v>0</v>
      </c>
      <c r="J13" s="59">
        <f t="shared" si="5"/>
        <v>0</v>
      </c>
      <c r="K13" s="7">
        <f t="shared" si="10"/>
        <v>21916.78</v>
      </c>
      <c r="L13" s="109"/>
      <c r="M13" s="59">
        <f t="shared" si="6"/>
        <v>0</v>
      </c>
      <c r="N13" s="59">
        <f t="shared" si="7"/>
        <v>0</v>
      </c>
      <c r="O13" s="7">
        <f t="shared" si="11"/>
        <v>129258.65</v>
      </c>
    </row>
    <row r="14" spans="1:17">
      <c r="A14" s="16" t="str">
        <f>VLOOKUP(3,LKQtr,4)</f>
        <v>September</v>
      </c>
      <c r="B14" s="118">
        <v>9</v>
      </c>
      <c r="C14" s="59">
        <f t="shared" si="0"/>
        <v>452.99</v>
      </c>
      <c r="D14" s="59">
        <f t="shared" si="1"/>
        <v>0</v>
      </c>
      <c r="E14" s="7">
        <f t="shared" si="8"/>
        <v>157416.95000000001</v>
      </c>
      <c r="F14" s="59">
        <f t="shared" si="2"/>
        <v>0</v>
      </c>
      <c r="G14" s="59">
        <f t="shared" si="3"/>
        <v>0</v>
      </c>
      <c r="H14" s="7">
        <f t="shared" si="9"/>
        <v>3736.25</v>
      </c>
      <c r="I14" s="59">
        <f t="shared" si="4"/>
        <v>0</v>
      </c>
      <c r="J14" s="59">
        <f t="shared" si="5"/>
        <v>0</v>
      </c>
      <c r="K14" s="7">
        <f t="shared" si="10"/>
        <v>21916.78</v>
      </c>
      <c r="L14" s="109"/>
      <c r="M14" s="59">
        <f t="shared" si="6"/>
        <v>0</v>
      </c>
      <c r="N14" s="59">
        <f t="shared" si="7"/>
        <v>0</v>
      </c>
      <c r="O14" s="7">
        <f t="shared" si="11"/>
        <v>129258.65</v>
      </c>
    </row>
    <row r="15" spans="1:17">
      <c r="A15" s="16" t="str">
        <f>VLOOKUP(4,LKQtr,2)</f>
        <v>October</v>
      </c>
      <c r="B15" s="118">
        <v>10</v>
      </c>
      <c r="C15" s="59">
        <f t="shared" si="0"/>
        <v>3057.01</v>
      </c>
      <c r="D15" s="59">
        <f t="shared" si="1"/>
        <v>0</v>
      </c>
      <c r="E15" s="7">
        <f t="shared" si="8"/>
        <v>160473.96000000002</v>
      </c>
      <c r="F15" s="59">
        <f t="shared" si="2"/>
        <v>0</v>
      </c>
      <c r="G15" s="59">
        <f t="shared" si="3"/>
        <v>0</v>
      </c>
      <c r="H15" s="7">
        <f t="shared" si="9"/>
        <v>3736.25</v>
      </c>
      <c r="I15" s="59">
        <f t="shared" si="4"/>
        <v>0</v>
      </c>
      <c r="J15" s="59">
        <f t="shared" si="5"/>
        <v>0</v>
      </c>
      <c r="K15" s="7">
        <f t="shared" si="10"/>
        <v>21916.78</v>
      </c>
      <c r="L15" s="109"/>
      <c r="M15" s="59">
        <f t="shared" si="6"/>
        <v>0</v>
      </c>
      <c r="N15" s="59">
        <f t="shared" si="7"/>
        <v>0</v>
      </c>
      <c r="O15" s="7">
        <f t="shared" si="11"/>
        <v>129258.65</v>
      </c>
    </row>
    <row r="16" spans="1:17">
      <c r="A16" s="16" t="str">
        <f>VLOOKUP(4,LKQtr,3)</f>
        <v>November</v>
      </c>
      <c r="B16" s="118">
        <v>11</v>
      </c>
      <c r="C16" s="59">
        <f t="shared" si="0"/>
        <v>2943.78</v>
      </c>
      <c r="D16" s="59">
        <f t="shared" si="1"/>
        <v>0</v>
      </c>
      <c r="E16" s="7">
        <f>+E15+C16-D16</f>
        <v>163417.74000000002</v>
      </c>
      <c r="F16" s="59">
        <f t="shared" si="2"/>
        <v>0</v>
      </c>
      <c r="G16" s="59">
        <f t="shared" si="3"/>
        <v>0</v>
      </c>
      <c r="H16" s="7">
        <f>+H15+F16-G16</f>
        <v>3736.25</v>
      </c>
      <c r="I16" s="59">
        <f t="shared" si="4"/>
        <v>0</v>
      </c>
      <c r="J16" s="59">
        <f t="shared" si="5"/>
        <v>0</v>
      </c>
      <c r="K16" s="7">
        <f>+K15+I16-J16</f>
        <v>21916.78</v>
      </c>
      <c r="L16" s="109"/>
      <c r="M16" s="59">
        <f t="shared" si="6"/>
        <v>0</v>
      </c>
      <c r="N16" s="59">
        <f t="shared" si="7"/>
        <v>0</v>
      </c>
      <c r="O16" s="7">
        <f>+O15+M16-N16</f>
        <v>129258.65</v>
      </c>
    </row>
    <row r="17" spans="1:16">
      <c r="A17" s="16" t="str">
        <f>VLOOKUP(4,LKQtr,4)</f>
        <v>December</v>
      </c>
      <c r="B17" s="118">
        <v>12</v>
      </c>
      <c r="C17" s="59">
        <f t="shared" si="0"/>
        <v>3978.13</v>
      </c>
      <c r="D17" s="59">
        <f t="shared" si="1"/>
        <v>9000</v>
      </c>
      <c r="E17" s="7">
        <f t="shared" si="8"/>
        <v>158395.87000000002</v>
      </c>
      <c r="F17" s="59">
        <f t="shared" si="2"/>
        <v>0</v>
      </c>
      <c r="G17" s="59">
        <f t="shared" si="3"/>
        <v>0</v>
      </c>
      <c r="H17" s="7">
        <f t="shared" ref="H17" si="12">+H16+F17-G17</f>
        <v>3736.25</v>
      </c>
      <c r="I17" s="59">
        <f t="shared" si="4"/>
        <v>0</v>
      </c>
      <c r="J17" s="59">
        <f t="shared" si="5"/>
        <v>0</v>
      </c>
      <c r="K17" s="7">
        <f t="shared" ref="K17" si="13">+K16+I17-J17</f>
        <v>21916.78</v>
      </c>
      <c r="L17" s="109"/>
      <c r="M17" s="59">
        <f t="shared" si="6"/>
        <v>0</v>
      </c>
      <c r="N17" s="59">
        <f t="shared" si="7"/>
        <v>0</v>
      </c>
      <c r="O17" s="7">
        <f t="shared" ref="O17" si="14">+O16+M17-N17</f>
        <v>129258.65</v>
      </c>
    </row>
    <row r="18" spans="1:16" ht="16" thickBot="1">
      <c r="A18" s="17" t="s">
        <v>9</v>
      </c>
      <c r="B18" s="17"/>
      <c r="C18" s="8">
        <f>SUM(C6:C17)</f>
        <v>27218.530000000024</v>
      </c>
      <c r="D18" s="9">
        <f>SUM(D6:D17)</f>
        <v>9000</v>
      </c>
      <c r="E18" s="10">
        <f>+E17</f>
        <v>158395.87000000002</v>
      </c>
      <c r="F18" s="8">
        <f>SUM(F6:F17)</f>
        <v>3000</v>
      </c>
      <c r="G18" s="9">
        <f>SUM(G6:G17)</f>
        <v>0</v>
      </c>
      <c r="H18" s="10">
        <f>+H17</f>
        <v>3736.25</v>
      </c>
      <c r="I18" s="8">
        <f>SUM(I6:I17)</f>
        <v>0</v>
      </c>
      <c r="J18" s="9">
        <f>SUM(J6:J17)</f>
        <v>0</v>
      </c>
      <c r="K18" s="10">
        <f>+K17</f>
        <v>21916.78</v>
      </c>
      <c r="L18" s="110"/>
      <c r="M18" s="8">
        <f>SUM(M6:M17)</f>
        <v>3105</v>
      </c>
      <c r="N18" s="9">
        <f>SUM(N6:N17)</f>
        <v>0</v>
      </c>
      <c r="O18" s="10">
        <f>+O17</f>
        <v>129258.65</v>
      </c>
    </row>
    <row r="19" spans="1:16" ht="16" thickBot="1">
      <c r="E19" s="3"/>
      <c r="H19" s="3"/>
      <c r="K19" s="3"/>
      <c r="L19" s="20"/>
      <c r="O19" s="3"/>
    </row>
    <row r="20" spans="1:16" ht="16" thickBot="1">
      <c r="C20" s="19"/>
      <c r="D20" s="99" t="s">
        <v>96</v>
      </c>
      <c r="E20" s="83">
        <v>163395.87</v>
      </c>
      <c r="H20" s="83">
        <v>5166.25</v>
      </c>
      <c r="K20" s="83">
        <v>22416.78</v>
      </c>
      <c r="L20" s="20"/>
      <c r="N20" s="22"/>
      <c r="O20" s="111"/>
      <c r="P20" s="19"/>
    </row>
    <row r="21" spans="1:16">
      <c r="D21" s="1" t="s">
        <v>42</v>
      </c>
      <c r="E21" s="21">
        <f>+E20-E18</f>
        <v>4999.9999999999709</v>
      </c>
      <c r="H21" s="21">
        <f>+H20-H18</f>
        <v>1430</v>
      </c>
      <c r="K21" s="21">
        <f>+K20-K18</f>
        <v>500</v>
      </c>
      <c r="L21" s="20"/>
      <c r="N21" s="22"/>
      <c r="O21" s="27"/>
    </row>
    <row r="22" spans="1:16">
      <c r="C22" s="46" t="s">
        <v>98</v>
      </c>
      <c r="E22" s="3"/>
      <c r="K22" s="3"/>
      <c r="L22" s="20"/>
      <c r="M22" s="20"/>
      <c r="N22" s="20"/>
      <c r="O22" s="22"/>
    </row>
    <row r="23" spans="1:16">
      <c r="C23" s="1" t="str">
        <f>+D20</f>
        <v xml:space="preserve">December Stmt.  </v>
      </c>
      <c r="E23" s="21">
        <f>+E20</f>
        <v>163395.87</v>
      </c>
      <c r="K23" s="3"/>
      <c r="N23" s="3"/>
    </row>
    <row r="24" spans="1:16">
      <c r="C24" s="179" t="s">
        <v>97</v>
      </c>
      <c r="D24" s="179"/>
      <c r="E24" s="3"/>
      <c r="K24" s="3"/>
      <c r="N24" s="3"/>
    </row>
    <row r="25" spans="1:16">
      <c r="D25" s="180">
        <v>1139</v>
      </c>
      <c r="E25" s="182">
        <v>2000</v>
      </c>
      <c r="J25" s="46"/>
      <c r="K25" s="46"/>
      <c r="L25" s="46"/>
      <c r="M25" s="46"/>
      <c r="N25" s="3"/>
    </row>
    <row r="26" spans="1:16">
      <c r="D26" s="180">
        <v>1140</v>
      </c>
      <c r="E26" s="182">
        <v>3000</v>
      </c>
      <c r="H26" s="48"/>
      <c r="K26" s="3"/>
      <c r="N26" s="3"/>
    </row>
    <row r="27" spans="1:16">
      <c r="C27" s="1" t="s">
        <v>99</v>
      </c>
      <c r="E27" s="181">
        <f>+E23-SUM(E25:E26)</f>
        <v>158395.87</v>
      </c>
      <c r="H27" s="3"/>
      <c r="K27" s="3"/>
      <c r="N27" s="3"/>
    </row>
    <row r="28" spans="1:16">
      <c r="C28" s="1" t="s">
        <v>42</v>
      </c>
      <c r="E28" s="181">
        <f>+E18-E27</f>
        <v>0</v>
      </c>
      <c r="H28" s="48"/>
      <c r="K28" s="3"/>
      <c r="N28" s="3"/>
    </row>
    <row r="29" spans="1:16">
      <c r="E29" s="3"/>
      <c r="K29" s="3"/>
      <c r="N29" s="3"/>
    </row>
    <row r="30" spans="1:16">
      <c r="E30" s="3"/>
      <c r="H30" s="48"/>
      <c r="K30" s="3"/>
      <c r="N30" s="3"/>
    </row>
    <row r="31" spans="1:16">
      <c r="E31" s="3"/>
      <c r="H31" s="3"/>
      <c r="K31" s="3"/>
      <c r="N31" s="3"/>
    </row>
    <row r="32" spans="1:16">
      <c r="E32" s="3"/>
      <c r="H32" s="3"/>
      <c r="K32" s="3"/>
      <c r="N32" s="3"/>
    </row>
    <row r="37" spans="5:14">
      <c r="E37" s="3"/>
      <c r="H37" s="3"/>
      <c r="K37" s="3"/>
      <c r="N37" s="3"/>
    </row>
    <row r="38" spans="5:14">
      <c r="E38" s="3"/>
      <c r="H38" s="3"/>
      <c r="K38" s="3"/>
      <c r="N38" s="3"/>
    </row>
    <row r="40" spans="5:14">
      <c r="E40" s="3"/>
      <c r="H40" s="3"/>
      <c r="K40" s="3"/>
      <c r="N40" s="3"/>
    </row>
    <row r="45" spans="5:14">
      <c r="E45" s="3"/>
      <c r="H45" s="3"/>
      <c r="K45" s="3"/>
      <c r="N45" s="3"/>
    </row>
    <row r="53" spans="5:14">
      <c r="E53" s="3"/>
      <c r="H53" s="3"/>
      <c r="K53" s="3"/>
      <c r="N53" s="3"/>
    </row>
    <row r="55" spans="5:14">
      <c r="E55" s="3"/>
      <c r="H55" s="3"/>
      <c r="K55" s="3"/>
      <c r="N55" s="3"/>
    </row>
    <row r="56" spans="5:14">
      <c r="E56" s="3"/>
      <c r="H56" s="3"/>
      <c r="K56" s="3"/>
      <c r="N56" s="3"/>
    </row>
    <row r="57" spans="5:14">
      <c r="E57" s="3"/>
      <c r="H57" s="3"/>
      <c r="K57" s="3"/>
      <c r="N57" s="3"/>
    </row>
    <row r="58" spans="5:14">
      <c r="E58" s="3"/>
      <c r="H58" s="3"/>
      <c r="K58" s="3"/>
      <c r="N58" s="3"/>
    </row>
    <row r="59" spans="5:14">
      <c r="E59" s="3"/>
      <c r="H59" s="3"/>
      <c r="K59" s="3"/>
      <c r="N59" s="3"/>
    </row>
    <row r="60" spans="5:14">
      <c r="E60" s="3"/>
      <c r="H60" s="3"/>
      <c r="K60" s="3"/>
      <c r="N60" s="3"/>
    </row>
    <row r="61" spans="5:14">
      <c r="E61" s="3"/>
      <c r="H61" s="3"/>
      <c r="K61" s="3"/>
      <c r="N61" s="3"/>
    </row>
    <row r="62" spans="5:14">
      <c r="E62" s="3"/>
      <c r="H62" s="3"/>
      <c r="K62" s="3"/>
      <c r="N62" s="3"/>
    </row>
    <row r="63" spans="5:14">
      <c r="E63" s="3"/>
      <c r="H63" s="3"/>
      <c r="K63" s="3"/>
      <c r="N63" s="3"/>
    </row>
    <row r="64" spans="5:14">
      <c r="E64" s="3"/>
      <c r="H64" s="3"/>
      <c r="K64" s="3"/>
      <c r="N64" s="3"/>
    </row>
    <row r="65" spans="5:14">
      <c r="E65" s="3"/>
      <c r="H65" s="3"/>
      <c r="K65" s="3"/>
      <c r="N65" s="3"/>
    </row>
    <row r="66" spans="5:14">
      <c r="E66" s="3"/>
      <c r="H66" s="3"/>
      <c r="K66" s="3"/>
      <c r="N66" s="3"/>
    </row>
    <row r="67" spans="5:14">
      <c r="E67" s="3"/>
      <c r="H67" s="3"/>
      <c r="K67" s="3"/>
      <c r="N67" s="3"/>
    </row>
    <row r="68" spans="5:14">
      <c r="E68" s="3"/>
      <c r="H68" s="3"/>
      <c r="K68" s="3"/>
      <c r="N68" s="3"/>
    </row>
    <row r="69" spans="5:14">
      <c r="E69" s="3"/>
      <c r="H69" s="3"/>
      <c r="K69" s="3"/>
      <c r="N69" s="3"/>
    </row>
    <row r="70" spans="5:14">
      <c r="E70" s="3"/>
      <c r="H70" s="3"/>
      <c r="K70" s="3"/>
      <c r="N70" s="3"/>
    </row>
    <row r="71" spans="5:14">
      <c r="E71" s="3"/>
      <c r="H71" s="3"/>
      <c r="K71" s="3"/>
      <c r="N71" s="3"/>
    </row>
    <row r="75" spans="5:14">
      <c r="E75" s="3"/>
      <c r="H75" s="3"/>
      <c r="K75" s="3"/>
      <c r="N75" s="3"/>
    </row>
    <row r="77" spans="5:14">
      <c r="E77" s="3"/>
      <c r="H77" s="3"/>
      <c r="K77" s="3"/>
      <c r="N77" s="3"/>
    </row>
    <row r="81" spans="5:14">
      <c r="E81" s="3"/>
      <c r="H81" s="3"/>
      <c r="K81" s="3"/>
      <c r="N81" s="3"/>
    </row>
    <row r="89" spans="5:14">
      <c r="E89" s="3"/>
      <c r="H89" s="3"/>
      <c r="K89" s="3"/>
      <c r="N89" s="3"/>
    </row>
    <row r="90" spans="5:14">
      <c r="E90" s="3"/>
      <c r="H90" s="3"/>
      <c r="K90" s="3"/>
      <c r="N90" s="3"/>
    </row>
    <row r="93" spans="5:14">
      <c r="E93" s="3"/>
      <c r="H93" s="3"/>
      <c r="K93" s="3"/>
      <c r="N93" s="3"/>
    </row>
    <row r="99" spans="5:14">
      <c r="E99" s="3"/>
      <c r="H99" s="3"/>
      <c r="K99" s="3"/>
      <c r="N99" s="3"/>
    </row>
    <row r="100" spans="5:14">
      <c r="E100" s="3"/>
      <c r="H100" s="3"/>
      <c r="K100" s="3"/>
      <c r="N100" s="3"/>
    </row>
    <row r="101" spans="5:14">
      <c r="E101" s="3"/>
      <c r="H101" s="3"/>
      <c r="K101" s="3"/>
      <c r="N101" s="3"/>
    </row>
    <row r="115" spans="5:14">
      <c r="E115" s="3"/>
      <c r="H115" s="3"/>
      <c r="K115" s="3"/>
      <c r="N115" s="3"/>
    </row>
    <row r="130" spans="5:14">
      <c r="E130" s="3"/>
      <c r="H130" s="3"/>
      <c r="K130" s="3"/>
      <c r="N130" s="3"/>
    </row>
    <row r="156" spans="5:14">
      <c r="E156" s="3"/>
      <c r="H156" s="3"/>
      <c r="K156" s="3"/>
      <c r="N156" s="3"/>
    </row>
  </sheetData>
  <mergeCells count="15">
    <mergeCell ref="C24:D24"/>
    <mergeCell ref="M3:O3"/>
    <mergeCell ref="N4:N5"/>
    <mergeCell ref="A1:H1"/>
    <mergeCell ref="F4:F5"/>
    <mergeCell ref="G4:G5"/>
    <mergeCell ref="I4:I5"/>
    <mergeCell ref="J4:J5"/>
    <mergeCell ref="C4:C5"/>
    <mergeCell ref="D4:D5"/>
    <mergeCell ref="C3:E3"/>
    <mergeCell ref="L4:L5"/>
    <mergeCell ref="M4:M5"/>
    <mergeCell ref="F3:H3"/>
    <mergeCell ref="I3:K3"/>
  </mergeCells>
  <pageMargins left="0.7" right="0.7" top="0.75" bottom="0.75" header="0.3" footer="0.3"/>
  <pageSetup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tabColor rgb="FFFFFF00"/>
    <pageSetUpPr fitToPage="1"/>
  </sheetPr>
  <dimension ref="A1:K177"/>
  <sheetViews>
    <sheetView showGridLines="0" topLeftCell="A2" workbookViewId="0">
      <selection activeCell="G11" sqref="G11:H22"/>
    </sheetView>
  </sheetViews>
  <sheetFormatPr defaultRowHeight="15.5"/>
  <cols>
    <col min="1" max="1" width="12.08984375" style="40" customWidth="1"/>
    <col min="2" max="2" width="7.7265625" style="40" customWidth="1"/>
    <col min="3" max="3" width="31.26953125" style="40" customWidth="1"/>
    <col min="4" max="6" width="8.7265625" style="40"/>
    <col min="7" max="10" width="13.26953125" style="40" customWidth="1"/>
    <col min="11" max="11" width="3.36328125" style="40" bestFit="1" customWidth="1"/>
    <col min="12" max="14" width="8.7265625" style="40"/>
    <col min="15" max="15" width="9.81640625" style="40" bestFit="1" customWidth="1"/>
    <col min="16" max="16384" width="8.7265625" style="40"/>
  </cols>
  <sheetData>
    <row r="1" spans="1:11" ht="23">
      <c r="B1" s="161" t="s">
        <v>10</v>
      </c>
      <c r="C1" s="161"/>
      <c r="D1" s="161"/>
      <c r="E1" s="161"/>
    </row>
    <row r="2" spans="1:11" ht="15.5" customHeight="1">
      <c r="A2" s="42"/>
      <c r="B2" s="43"/>
    </row>
    <row r="3" spans="1:11" ht="15.5" customHeight="1">
      <c r="A3" s="41"/>
      <c r="B3" s="41"/>
      <c r="C3" s="45" t="s">
        <v>29</v>
      </c>
      <c r="F3" s="162" t="s">
        <v>73</v>
      </c>
      <c r="G3" s="162"/>
      <c r="H3" s="41"/>
      <c r="I3" s="41"/>
      <c r="J3" s="41"/>
      <c r="K3" s="41"/>
    </row>
    <row r="4" spans="1:11" ht="15.5" customHeight="1">
      <c r="A4" s="41"/>
      <c r="B4" s="40">
        <v>1000</v>
      </c>
      <c r="C4" s="51" t="s">
        <v>57</v>
      </c>
      <c r="F4" s="114">
        <v>1</v>
      </c>
      <c r="G4" s="40" t="str">
        <f>VLOOKUP(1,LKMonth,2)</f>
        <v>January</v>
      </c>
      <c r="H4" s="40" t="str">
        <f>VLOOKUP(2,LKMonth,2)</f>
        <v>February</v>
      </c>
      <c r="I4" s="40" t="str">
        <f>VLOOKUP(3,LKMonth,2)</f>
        <v>March</v>
      </c>
      <c r="J4" s="40" t="s">
        <v>69</v>
      </c>
    </row>
    <row r="5" spans="1:11" ht="15.5" customHeight="1">
      <c r="A5" s="41"/>
      <c r="B5" s="40">
        <v>1010</v>
      </c>
      <c r="C5" s="51" t="s">
        <v>0</v>
      </c>
      <c r="F5" s="114">
        <v>2</v>
      </c>
      <c r="G5" s="40" t="str">
        <f>VLOOKUP(4,LKMonth,2)</f>
        <v>April</v>
      </c>
      <c r="H5" s="40" t="str">
        <f>VLOOKUP(5,LKMonth,2)</f>
        <v>May</v>
      </c>
      <c r="I5" s="40" t="str">
        <f>VLOOKUP(6,LKMonth,2)</f>
        <v>June</v>
      </c>
      <c r="J5" s="40" t="s">
        <v>70</v>
      </c>
    </row>
    <row r="6" spans="1:11" ht="15.5" customHeight="1">
      <c r="A6" s="41"/>
      <c r="B6" s="40">
        <v>1020</v>
      </c>
      <c r="C6" s="51" t="s">
        <v>58</v>
      </c>
      <c r="F6" s="114">
        <v>3</v>
      </c>
      <c r="G6" s="40" t="str">
        <f>VLOOKUP(7,LKMonth,2)</f>
        <v>July</v>
      </c>
      <c r="H6" s="40" t="str">
        <f>VLOOKUP(8,LKMonth,2)</f>
        <v>August</v>
      </c>
      <c r="I6" s="40" t="str">
        <f>VLOOKUP(9,LKMonth,2)</f>
        <v>September</v>
      </c>
      <c r="J6" s="40" t="s">
        <v>71</v>
      </c>
    </row>
    <row r="7" spans="1:11" ht="15.5" customHeight="1">
      <c r="A7" s="41"/>
      <c r="C7" s="51"/>
      <c r="F7" s="114">
        <v>4</v>
      </c>
      <c r="G7" s="40" t="str">
        <f>VLOOKUP(10,LKMonth,2)</f>
        <v>October</v>
      </c>
      <c r="H7" s="40" t="str">
        <f>VLOOKUP(11,LKMonth,2)</f>
        <v>November</v>
      </c>
      <c r="I7" s="40" t="str">
        <f>VLOOKUP(12,LKMonth,2)</f>
        <v>December</v>
      </c>
      <c r="J7" s="40" t="s">
        <v>72</v>
      </c>
    </row>
    <row r="8" spans="1:11" ht="15.5" customHeight="1">
      <c r="A8" s="41"/>
      <c r="B8" s="41"/>
      <c r="C8" s="45"/>
    </row>
    <row r="9" spans="1:11" ht="15.5" customHeight="1">
      <c r="A9" s="41"/>
      <c r="B9" s="41"/>
      <c r="C9" s="45" t="s">
        <v>30</v>
      </c>
    </row>
    <row r="10" spans="1:11" ht="15.5" customHeight="1">
      <c r="A10" s="41"/>
      <c r="B10" s="41"/>
      <c r="C10" s="102" t="s">
        <v>59</v>
      </c>
      <c r="F10" s="162" t="s">
        <v>74</v>
      </c>
      <c r="G10" s="162"/>
    </row>
    <row r="11" spans="1:11" ht="15.5" customHeight="1">
      <c r="A11" s="41"/>
      <c r="B11" s="40">
        <v>4000</v>
      </c>
      <c r="C11" s="38" t="s">
        <v>81</v>
      </c>
      <c r="F11" s="114">
        <v>1</v>
      </c>
      <c r="G11" s="116" t="s">
        <v>18</v>
      </c>
      <c r="H11" s="114">
        <v>1</v>
      </c>
    </row>
    <row r="12" spans="1:11" ht="15.5" customHeight="1">
      <c r="A12" s="41"/>
      <c r="B12" s="40">
        <v>4010</v>
      </c>
      <c r="C12" s="38" t="s">
        <v>60</v>
      </c>
      <c r="F12" s="114">
        <v>2</v>
      </c>
      <c r="G12" s="116" t="s">
        <v>19</v>
      </c>
      <c r="H12" s="114">
        <v>2</v>
      </c>
    </row>
    <row r="13" spans="1:11" ht="15.5" customHeight="1">
      <c r="A13" s="41"/>
      <c r="B13" s="40">
        <v>4020</v>
      </c>
      <c r="C13" s="38" t="s">
        <v>88</v>
      </c>
      <c r="F13" s="114">
        <v>3</v>
      </c>
      <c r="G13" s="116" t="s">
        <v>20</v>
      </c>
      <c r="H13" s="114">
        <v>3</v>
      </c>
    </row>
    <row r="14" spans="1:11" ht="15.5" customHeight="1">
      <c r="A14" s="41"/>
      <c r="F14" s="114">
        <v>4</v>
      </c>
      <c r="G14" s="116" t="s">
        <v>21</v>
      </c>
      <c r="H14" s="114">
        <v>4</v>
      </c>
    </row>
    <row r="15" spans="1:11" ht="15.5" customHeight="1">
      <c r="A15" s="41"/>
      <c r="C15" s="102" t="s">
        <v>67</v>
      </c>
      <c r="F15" s="114">
        <v>5</v>
      </c>
      <c r="G15" s="116" t="s">
        <v>22</v>
      </c>
      <c r="H15" s="114">
        <v>5</v>
      </c>
    </row>
    <row r="16" spans="1:11" ht="15.5" customHeight="1">
      <c r="A16" s="41"/>
      <c r="B16" s="40">
        <v>5000</v>
      </c>
      <c r="C16" s="39" t="s">
        <v>43</v>
      </c>
      <c r="F16" s="114">
        <v>6</v>
      </c>
      <c r="G16" s="116" t="s">
        <v>23</v>
      </c>
      <c r="H16" s="114">
        <v>6</v>
      </c>
    </row>
    <row r="17" spans="1:8" ht="15.5" customHeight="1">
      <c r="A17" s="41"/>
      <c r="B17" s="40">
        <v>5010</v>
      </c>
      <c r="C17" s="39" t="s">
        <v>61</v>
      </c>
      <c r="F17" s="114">
        <v>7</v>
      </c>
      <c r="G17" s="116" t="s">
        <v>24</v>
      </c>
      <c r="H17" s="114">
        <v>7</v>
      </c>
    </row>
    <row r="18" spans="1:8" ht="15.5" customHeight="1">
      <c r="A18" s="41"/>
      <c r="B18" s="40">
        <v>5020</v>
      </c>
      <c r="C18" s="39" t="s">
        <v>64</v>
      </c>
      <c r="F18" s="114">
        <v>8</v>
      </c>
      <c r="G18" s="116" t="s">
        <v>25</v>
      </c>
      <c r="H18" s="114">
        <v>8</v>
      </c>
    </row>
    <row r="19" spans="1:8" ht="15.5" customHeight="1">
      <c r="A19" s="41"/>
      <c r="B19" s="40">
        <v>5050</v>
      </c>
      <c r="C19" s="39" t="s">
        <v>82</v>
      </c>
      <c r="F19" s="114">
        <v>9</v>
      </c>
      <c r="G19" s="116" t="s">
        <v>26</v>
      </c>
      <c r="H19" s="114">
        <v>9</v>
      </c>
    </row>
    <row r="20" spans="1:8" ht="15.5" customHeight="1">
      <c r="A20" s="41"/>
      <c r="C20" s="39"/>
      <c r="F20" s="114">
        <v>10</v>
      </c>
      <c r="G20" s="116" t="s">
        <v>27</v>
      </c>
      <c r="H20" s="114">
        <v>10</v>
      </c>
    </row>
    <row r="21" spans="1:8" ht="15.5" customHeight="1">
      <c r="A21" s="41"/>
      <c r="C21" s="39"/>
      <c r="F21" s="114">
        <v>11</v>
      </c>
      <c r="G21" s="116" t="s">
        <v>16</v>
      </c>
      <c r="H21" s="114">
        <v>11</v>
      </c>
    </row>
    <row r="22" spans="1:8" ht="15.5" customHeight="1">
      <c r="A22" s="41"/>
      <c r="C22" s="39"/>
      <c r="F22" s="114">
        <v>12</v>
      </c>
      <c r="G22" s="116" t="s">
        <v>28</v>
      </c>
      <c r="H22" s="114">
        <v>12</v>
      </c>
    </row>
    <row r="23" spans="1:8" ht="15.5" customHeight="1">
      <c r="A23" s="41"/>
    </row>
    <row r="24" spans="1:8" ht="15.5" customHeight="1">
      <c r="A24" s="41"/>
      <c r="B24" s="41"/>
      <c r="C24" s="18"/>
    </row>
    <row r="25" spans="1:8" ht="15.5" customHeight="1">
      <c r="C25" s="39"/>
    </row>
    <row r="26" spans="1:8" ht="15.5" customHeight="1">
      <c r="C26" s="39"/>
    </row>
    <row r="27" spans="1:8" ht="15.5" customHeight="1">
      <c r="C27" s="39"/>
    </row>
    <row r="28" spans="1:8" ht="15.5" customHeight="1">
      <c r="B28" s="41"/>
      <c r="C28" s="18"/>
    </row>
    <row r="29" spans="1:8" ht="15.5" customHeight="1">
      <c r="C29" s="39"/>
    </row>
    <row r="30" spans="1:8" ht="15.5" customHeight="1">
      <c r="C30" s="39"/>
    </row>
    <row r="31" spans="1:8" ht="15.5" customHeight="1">
      <c r="B31" s="41"/>
      <c r="C31" s="18"/>
    </row>
    <row r="32" spans="1:8" ht="15.5" customHeight="1">
      <c r="C32" s="39"/>
    </row>
    <row r="33" spans="3:6" ht="15.5" customHeight="1">
      <c r="C33" s="39"/>
    </row>
    <row r="34" spans="3:6" ht="15.5" customHeight="1">
      <c r="C34" s="39"/>
    </row>
    <row r="35" spans="3:6" ht="15.5" customHeight="1">
      <c r="C35" s="39"/>
    </row>
    <row r="36" spans="3:6" ht="15.5" customHeight="1">
      <c r="C36" s="39"/>
    </row>
    <row r="37" spans="3:6" ht="15.5" customHeight="1">
      <c r="C37" s="39"/>
    </row>
    <row r="38" spans="3:6" ht="15.5" customHeight="1">
      <c r="C38" s="39"/>
    </row>
    <row r="39" spans="3:6" ht="15.5" customHeight="1">
      <c r="C39" s="39"/>
      <c r="F39" s="44"/>
    </row>
    <row r="40" spans="3:6" ht="15.5" customHeight="1">
      <c r="C40" s="39"/>
    </row>
    <row r="41" spans="3:6" ht="15.5" customHeight="1">
      <c r="C41" s="39"/>
    </row>
    <row r="42" spans="3:6" ht="15.5" customHeight="1">
      <c r="C42" s="39"/>
    </row>
    <row r="43" spans="3:6" ht="15.5" customHeight="1">
      <c r="C43" s="39"/>
    </row>
    <row r="44" spans="3:6" ht="15.5" customHeight="1">
      <c r="C44" s="39"/>
    </row>
    <row r="45" spans="3:6" ht="15.5" customHeight="1">
      <c r="C45" s="39"/>
    </row>
    <row r="46" spans="3:6" ht="15.5" customHeight="1">
      <c r="C46" s="39"/>
    </row>
    <row r="47" spans="3:6" ht="15.5" customHeight="1">
      <c r="C47" s="39"/>
    </row>
    <row r="48" spans="3:6" ht="15.5" customHeight="1">
      <c r="C48" s="39"/>
      <c r="E48" s="41"/>
      <c r="F48" s="44"/>
    </row>
    <row r="49" spans="1:4" ht="15.5" customHeight="1">
      <c r="C49" s="39"/>
    </row>
    <row r="50" spans="1:4" ht="15.5" customHeight="1">
      <c r="C50" s="39"/>
    </row>
    <row r="51" spans="1:4" ht="15.5" customHeight="1">
      <c r="C51" s="39"/>
    </row>
    <row r="52" spans="1:4" ht="15.5" customHeight="1"/>
    <row r="53" spans="1:4" ht="15.5" customHeight="1">
      <c r="B53" s="41"/>
      <c r="C53" s="18"/>
    </row>
    <row r="54" spans="1:4" ht="15.5" customHeight="1">
      <c r="B54" s="41"/>
      <c r="C54" s="18"/>
    </row>
    <row r="55" spans="1:4" ht="15.5" customHeight="1">
      <c r="A55" s="41"/>
      <c r="C55" s="39"/>
      <c r="D55" s="40" t="s">
        <v>12</v>
      </c>
    </row>
    <row r="56" spans="1:4" ht="15.5" customHeight="1">
      <c r="A56" s="41"/>
      <c r="C56" s="39"/>
    </row>
    <row r="57" spans="1:4" ht="15.5" customHeight="1">
      <c r="A57" s="41"/>
      <c r="C57" s="39"/>
    </row>
    <row r="58" spans="1:4" ht="15.5" customHeight="1">
      <c r="A58" s="41"/>
      <c r="C58" s="39"/>
    </row>
    <row r="59" spans="1:4" ht="15.5" customHeight="1">
      <c r="A59" s="41"/>
      <c r="C59" s="39"/>
    </row>
    <row r="60" spans="1:4" ht="15.5" customHeight="1">
      <c r="A60" s="41"/>
      <c r="C60" s="18"/>
    </row>
    <row r="61" spans="1:4" ht="15.5" customHeight="1">
      <c r="A61" s="41"/>
      <c r="C61" s="39"/>
    </row>
    <row r="62" spans="1:4" ht="15.5" customHeight="1">
      <c r="A62" s="41"/>
      <c r="C62" s="39"/>
    </row>
    <row r="63" spans="1:4" ht="15.5" customHeight="1">
      <c r="A63" s="41"/>
      <c r="C63" s="39"/>
    </row>
    <row r="64" spans="1:4" ht="15.5" customHeight="1">
      <c r="A64" s="41"/>
      <c r="C64" s="39"/>
    </row>
    <row r="65" spans="1:3" ht="15.5" customHeight="1">
      <c r="A65" s="41"/>
      <c r="C65" s="39"/>
    </row>
    <row r="66" spans="1:3" ht="15.5" customHeight="1">
      <c r="A66" s="41"/>
      <c r="C66" s="39"/>
    </row>
    <row r="67" spans="1:3" ht="15.5" customHeight="1">
      <c r="A67" s="41"/>
      <c r="C67" s="18"/>
    </row>
    <row r="68" spans="1:3" ht="15.5" customHeight="1">
      <c r="A68" s="41"/>
      <c r="C68" s="39"/>
    </row>
    <row r="69" spans="1:3" ht="15.5" customHeight="1">
      <c r="A69" s="41"/>
      <c r="C69" s="39"/>
    </row>
    <row r="70" spans="1:3" ht="15.5" customHeight="1">
      <c r="A70" s="41"/>
      <c r="C70" s="39"/>
    </row>
    <row r="71" spans="1:3" ht="15.5" customHeight="1">
      <c r="A71" s="41"/>
      <c r="C71" s="39"/>
    </row>
    <row r="72" spans="1:3" ht="15.5" customHeight="1">
      <c r="A72" s="41"/>
      <c r="C72" s="39"/>
    </row>
    <row r="73" spans="1:3" ht="15.5" customHeight="1">
      <c r="A73" s="41"/>
      <c r="C73" s="18"/>
    </row>
    <row r="74" spans="1:3" ht="15.5" customHeight="1">
      <c r="A74" s="41"/>
      <c r="C74" s="39"/>
    </row>
    <row r="75" spans="1:3" ht="15.5" customHeight="1">
      <c r="A75" s="41"/>
      <c r="C75" s="39"/>
    </row>
    <row r="76" spans="1:3" ht="15.5" customHeight="1">
      <c r="A76" s="41"/>
      <c r="B76" s="41"/>
      <c r="C76" s="18"/>
    </row>
    <row r="77" spans="1:3" ht="15.5" customHeight="1">
      <c r="A77" s="41"/>
      <c r="C77" s="39"/>
    </row>
    <row r="78" spans="1:3" ht="15.5" customHeight="1">
      <c r="A78" s="41"/>
      <c r="C78" s="39"/>
    </row>
    <row r="79" spans="1:3" ht="15.5" customHeight="1">
      <c r="A79" s="41"/>
      <c r="C79" s="39"/>
    </row>
    <row r="80" spans="1:3" ht="15.5" customHeight="1">
      <c r="A80" s="41"/>
      <c r="C80" s="39"/>
    </row>
    <row r="81" spans="1:4" ht="15.5" customHeight="1">
      <c r="A81" s="41"/>
      <c r="C81" s="39"/>
    </row>
    <row r="82" spans="1:4" ht="15.5" customHeight="1">
      <c r="A82" s="41"/>
      <c r="C82" s="39"/>
    </row>
    <row r="83" spans="1:4" ht="15.5" customHeight="1">
      <c r="A83" s="41"/>
      <c r="C83" s="39"/>
    </row>
    <row r="84" spans="1:4" ht="15.5" customHeight="1">
      <c r="A84" s="41"/>
      <c r="C84" s="18"/>
    </row>
    <row r="85" spans="1:4" ht="15.5" customHeight="1">
      <c r="A85" s="41"/>
      <c r="B85" s="41"/>
      <c r="C85" s="18"/>
    </row>
    <row r="86" spans="1:4" ht="15.5" customHeight="1">
      <c r="A86" s="41"/>
      <c r="C86" s="39"/>
      <c r="D86" s="40" t="s">
        <v>11</v>
      </c>
    </row>
    <row r="87" spans="1:4" ht="15.5" customHeight="1">
      <c r="A87" s="41"/>
      <c r="C87" s="39"/>
    </row>
    <row r="88" spans="1:4" ht="15.5" customHeight="1">
      <c r="A88" s="41"/>
      <c r="C88" s="39"/>
    </row>
    <row r="89" spans="1:4" ht="15.5" customHeight="1">
      <c r="A89" s="41"/>
      <c r="C89" s="39"/>
    </row>
    <row r="90" spans="1:4" ht="15.5" customHeight="1">
      <c r="A90" s="41"/>
      <c r="C90" s="18"/>
    </row>
    <row r="91" spans="1:4" ht="15.5" customHeight="1">
      <c r="A91" s="41"/>
      <c r="C91" s="39"/>
    </row>
    <row r="92" spans="1:4" ht="15.5" customHeight="1">
      <c r="A92" s="41"/>
      <c r="C92" s="39"/>
      <c r="D92" s="39"/>
    </row>
    <row r="93" spans="1:4" ht="15.5" customHeight="1">
      <c r="A93" s="41"/>
      <c r="C93" s="39"/>
      <c r="D93" s="39"/>
    </row>
    <row r="94" spans="1:4" ht="15.5" customHeight="1">
      <c r="A94" s="41"/>
      <c r="C94" s="39"/>
      <c r="D94" s="39"/>
    </row>
    <row r="95" spans="1:4" ht="15.5" customHeight="1">
      <c r="A95" s="41"/>
      <c r="C95" s="39"/>
      <c r="D95" s="39"/>
    </row>
    <row r="96" spans="1:4" ht="15.5" customHeight="1">
      <c r="A96" s="41"/>
      <c r="C96" s="18"/>
    </row>
    <row r="97" spans="1:11" ht="15.5" customHeight="1">
      <c r="A97" s="41"/>
      <c r="C97" s="39"/>
    </row>
    <row r="98" spans="1:11" ht="15.5" customHeight="1">
      <c r="A98" s="41"/>
      <c r="C98" s="39"/>
    </row>
    <row r="99" spans="1:11" ht="15.5" customHeight="1">
      <c r="A99" s="41"/>
      <c r="C99" s="39"/>
      <c r="G99" s="39"/>
      <c r="H99" s="39"/>
      <c r="I99" s="39"/>
      <c r="J99" s="39"/>
      <c r="K99" s="39"/>
    </row>
    <row r="100" spans="1:11" ht="15.5" customHeight="1">
      <c r="A100" s="41"/>
      <c r="B100" s="41"/>
      <c r="C100" s="18"/>
      <c r="G100" s="39"/>
      <c r="H100" s="39"/>
      <c r="I100" s="39"/>
      <c r="J100" s="39"/>
      <c r="K100" s="39"/>
    </row>
    <row r="101" spans="1:11" ht="15.5" customHeight="1">
      <c r="A101" s="41"/>
      <c r="C101" s="39"/>
      <c r="G101" s="39"/>
      <c r="H101" s="39"/>
      <c r="I101" s="39"/>
      <c r="J101" s="39"/>
      <c r="K101" s="39"/>
    </row>
    <row r="102" spans="1:11" ht="15.5" customHeight="1">
      <c r="A102" s="41"/>
      <c r="C102" s="39"/>
      <c r="F102" s="18"/>
      <c r="G102" s="39"/>
      <c r="H102" s="39"/>
      <c r="I102" s="39"/>
      <c r="J102" s="39"/>
      <c r="K102" s="39"/>
    </row>
    <row r="103" spans="1:11" ht="15.5" customHeight="1">
      <c r="A103" s="41"/>
      <c r="C103" s="39"/>
      <c r="F103" s="39"/>
      <c r="G103" s="39"/>
      <c r="H103" s="39"/>
      <c r="I103" s="39"/>
      <c r="J103" s="39"/>
      <c r="K103" s="39"/>
    </row>
    <row r="104" spans="1:11" ht="15.5" customHeight="1">
      <c r="A104" s="41"/>
      <c r="C104" s="39"/>
      <c r="F104" s="39"/>
      <c r="G104" s="39"/>
      <c r="H104" s="39"/>
      <c r="I104" s="39"/>
      <c r="J104" s="39"/>
      <c r="K104" s="39"/>
    </row>
    <row r="105" spans="1:11" ht="15.5" customHeight="1">
      <c r="A105" s="41"/>
      <c r="B105" s="41"/>
      <c r="C105" s="18"/>
      <c r="F105" s="39"/>
      <c r="G105" s="39"/>
      <c r="H105" s="39"/>
      <c r="I105" s="39"/>
      <c r="J105" s="39"/>
      <c r="K105" s="39"/>
    </row>
    <row r="106" spans="1:11" ht="15.5" customHeight="1">
      <c r="A106" s="41"/>
      <c r="C106" s="39"/>
      <c r="F106" s="39"/>
      <c r="G106" s="39"/>
      <c r="H106" s="39"/>
      <c r="I106" s="39"/>
      <c r="J106" s="39"/>
      <c r="K106" s="39"/>
    </row>
    <row r="107" spans="1:11" ht="15.5" customHeight="1">
      <c r="A107" s="41"/>
      <c r="C107" s="39"/>
      <c r="F107" s="39"/>
      <c r="G107" s="39"/>
      <c r="H107" s="39"/>
      <c r="I107" s="39"/>
      <c r="J107" s="39"/>
      <c r="K107" s="39"/>
    </row>
    <row r="108" spans="1:11" ht="15.5" customHeight="1">
      <c r="A108" s="41"/>
      <c r="C108" s="39"/>
      <c r="F108" s="39"/>
      <c r="G108" s="39"/>
      <c r="H108" s="39"/>
      <c r="I108" s="39"/>
      <c r="J108" s="39"/>
      <c r="K108" s="39"/>
    </row>
    <row r="109" spans="1:11" ht="15.5" customHeight="1">
      <c r="A109" s="41"/>
      <c r="B109" s="58"/>
      <c r="C109" s="18"/>
    </row>
    <row r="110" spans="1:11" ht="15.5" customHeight="1">
      <c r="A110" s="41"/>
      <c r="C110" s="44"/>
    </row>
    <row r="111" spans="1:11">
      <c r="C111" s="39"/>
    </row>
    <row r="112" spans="1:11">
      <c r="C112" s="39"/>
    </row>
    <row r="113" spans="2:4">
      <c r="B113" s="41"/>
      <c r="C113" s="44"/>
    </row>
    <row r="114" spans="2:4">
      <c r="C114" s="39"/>
    </row>
    <row r="115" spans="2:4">
      <c r="C115" s="39"/>
    </row>
    <row r="116" spans="2:4">
      <c r="C116" s="39"/>
    </row>
    <row r="117" spans="2:4">
      <c r="C117" s="39"/>
    </row>
    <row r="118" spans="2:4">
      <c r="B118" s="41"/>
      <c r="C118" s="44"/>
    </row>
    <row r="119" spans="2:4">
      <c r="C119" s="39"/>
    </row>
    <row r="120" spans="2:4">
      <c r="C120" s="39"/>
    </row>
    <row r="121" spans="2:4">
      <c r="C121" s="39"/>
    </row>
    <row r="122" spans="2:4">
      <c r="C122" s="39"/>
    </row>
    <row r="123" spans="2:4">
      <c r="C123" s="39"/>
      <c r="D123" s="40" t="s">
        <v>56</v>
      </c>
    </row>
    <row r="124" spans="2:4">
      <c r="C124" s="39"/>
    </row>
    <row r="125" spans="2:4">
      <c r="C125" s="39"/>
    </row>
    <row r="126" spans="2:4">
      <c r="C126" s="44"/>
    </row>
    <row r="127" spans="2:4">
      <c r="C127" s="39"/>
    </row>
    <row r="128" spans="2:4">
      <c r="C128" s="39"/>
    </row>
    <row r="129" spans="3:3">
      <c r="C129" s="39"/>
    </row>
    <row r="130" spans="3:3">
      <c r="C130" s="39"/>
    </row>
    <row r="131" spans="3:3">
      <c r="C131" s="39"/>
    </row>
    <row r="132" spans="3:3">
      <c r="C132" s="39"/>
    </row>
    <row r="133" spans="3:3">
      <c r="C133" s="39"/>
    </row>
    <row r="134" spans="3:3">
      <c r="C134" s="39"/>
    </row>
    <row r="135" spans="3:3">
      <c r="C135" s="39"/>
    </row>
    <row r="136" spans="3:3">
      <c r="C136" s="18"/>
    </row>
    <row r="137" spans="3:3">
      <c r="C137" s="44"/>
    </row>
    <row r="138" spans="3:3">
      <c r="C138" s="39"/>
    </row>
    <row r="139" spans="3:3">
      <c r="C139" s="39"/>
    </row>
    <row r="140" spans="3:3">
      <c r="C140" s="44"/>
    </row>
    <row r="141" spans="3:3">
      <c r="C141" s="39"/>
    </row>
    <row r="142" spans="3:3">
      <c r="C142" s="39"/>
    </row>
    <row r="143" spans="3:3">
      <c r="C143" s="39"/>
    </row>
    <row r="144" spans="3:3">
      <c r="C144" s="44"/>
    </row>
    <row r="145" spans="3:3">
      <c r="C145" s="39"/>
    </row>
    <row r="146" spans="3:3">
      <c r="C146" s="39"/>
    </row>
    <row r="147" spans="3:3">
      <c r="C147" s="39"/>
    </row>
    <row r="148" spans="3:3">
      <c r="C148" s="39"/>
    </row>
    <row r="149" spans="3:3">
      <c r="C149" s="39"/>
    </row>
    <row r="150" spans="3:3">
      <c r="C150" s="39"/>
    </row>
    <row r="151" spans="3:3">
      <c r="C151" s="18"/>
    </row>
    <row r="152" spans="3:3">
      <c r="C152" s="39"/>
    </row>
    <row r="153" spans="3:3">
      <c r="C153" s="39"/>
    </row>
    <row r="154" spans="3:3">
      <c r="C154" s="39"/>
    </row>
    <row r="155" spans="3:3">
      <c r="C155" s="39"/>
    </row>
    <row r="156" spans="3:3">
      <c r="C156" s="39"/>
    </row>
    <row r="157" spans="3:3">
      <c r="C157" s="39"/>
    </row>
    <row r="158" spans="3:3">
      <c r="C158" s="39"/>
    </row>
    <row r="159" spans="3:3">
      <c r="C159" s="39"/>
    </row>
    <row r="160" spans="3:3">
      <c r="C160" s="39"/>
    </row>
    <row r="161" spans="3:3">
      <c r="C161" s="39"/>
    </row>
    <row r="162" spans="3:3">
      <c r="C162" s="18"/>
    </row>
    <row r="163" spans="3:3">
      <c r="C163" s="39"/>
    </row>
    <row r="164" spans="3:3">
      <c r="C164" s="39"/>
    </row>
    <row r="165" spans="3:3">
      <c r="C165" s="39"/>
    </row>
    <row r="168" spans="3:3">
      <c r="C168" s="39"/>
    </row>
    <row r="172" spans="3:3">
      <c r="C172" s="18"/>
    </row>
    <row r="173" spans="3:3">
      <c r="C173" s="18"/>
    </row>
    <row r="175" spans="3:3">
      <c r="C175" s="39"/>
    </row>
    <row r="177" spans="3:3">
      <c r="C177" s="18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66" t="s">
        <v>31</v>
      </c>
      <c r="B1" s="166"/>
      <c r="C1" s="166"/>
      <c r="D1" s="166"/>
      <c r="E1" s="166"/>
      <c r="F1" s="166"/>
      <c r="G1" s="166"/>
      <c r="H1" s="62"/>
    </row>
    <row r="2" spans="1:9" s="61" customFormat="1" ht="21">
      <c r="A2" s="167" t="s">
        <v>47</v>
      </c>
      <c r="B2" s="167"/>
      <c r="C2" s="167"/>
      <c r="D2" s="167"/>
      <c r="E2" s="167"/>
      <c r="F2" s="167"/>
      <c r="G2" s="167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68" t="s">
        <v>49</v>
      </c>
      <c r="C6" s="169"/>
      <c r="D6" s="170"/>
      <c r="E6" s="168" t="s">
        <v>48</v>
      </c>
      <c r="F6" s="168" t="s">
        <v>44</v>
      </c>
      <c r="G6" s="174" t="s">
        <v>45</v>
      </c>
      <c r="H6" s="61"/>
      <c r="I6" s="61"/>
    </row>
    <row r="7" spans="1:9" ht="23.5" customHeight="1" thickBot="1">
      <c r="A7" s="66" t="s">
        <v>32</v>
      </c>
      <c r="B7" s="171"/>
      <c r="C7" s="172"/>
      <c r="D7" s="173"/>
      <c r="E7" s="171"/>
      <c r="F7" s="171"/>
      <c r="G7" s="175"/>
      <c r="H7" s="61"/>
      <c r="I7" s="61"/>
    </row>
    <row r="8" spans="1:9" ht="40.5" customHeight="1" thickBot="1">
      <c r="A8" s="65">
        <v>1</v>
      </c>
      <c r="B8" s="163"/>
      <c r="C8" s="164"/>
      <c r="D8" s="165"/>
      <c r="E8" s="94"/>
      <c r="F8" s="88"/>
      <c r="G8" s="89"/>
      <c r="H8" s="61"/>
      <c r="I8" s="61"/>
    </row>
    <row r="9" spans="1:9" ht="40.5" customHeight="1" thickBot="1">
      <c r="A9" s="65">
        <f>+A8+1</f>
        <v>2</v>
      </c>
      <c r="B9" s="163"/>
      <c r="C9" s="164"/>
      <c r="D9" s="165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63"/>
      <c r="C10" s="164"/>
      <c r="D10" s="165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63"/>
      <c r="C11" s="164"/>
      <c r="D11" s="165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63"/>
      <c r="C14" s="164"/>
      <c r="D14" s="165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63"/>
      <c r="C15" s="164"/>
      <c r="D15" s="165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63"/>
      <c r="C16" s="164"/>
      <c r="D16" s="165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63"/>
      <c r="C17" s="164"/>
      <c r="D17" s="165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63"/>
      <c r="C18" s="164"/>
      <c r="D18" s="165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63"/>
      <c r="C19" s="164"/>
      <c r="D19" s="165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63"/>
      <c r="C20" s="164"/>
      <c r="D20" s="165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63"/>
      <c r="C21" s="164"/>
      <c r="D21" s="165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63"/>
      <c r="C28" s="164"/>
      <c r="D28" s="165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66" t="s">
        <v>31</v>
      </c>
      <c r="B1" s="166"/>
      <c r="C1" s="166"/>
      <c r="D1" s="166"/>
      <c r="E1" s="166"/>
      <c r="F1" s="166"/>
      <c r="G1" s="166"/>
      <c r="H1" s="62"/>
    </row>
    <row r="2" spans="1:9" s="61" customFormat="1" ht="21">
      <c r="A2" s="167" t="s">
        <v>47</v>
      </c>
      <c r="B2" s="167"/>
      <c r="C2" s="167"/>
      <c r="D2" s="167"/>
      <c r="E2" s="167"/>
      <c r="F2" s="167"/>
      <c r="G2" s="167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68" t="s">
        <v>49</v>
      </c>
      <c r="C6" s="169"/>
      <c r="D6" s="170"/>
      <c r="E6" s="168" t="s">
        <v>48</v>
      </c>
      <c r="F6" s="168" t="s">
        <v>44</v>
      </c>
      <c r="G6" s="174" t="s">
        <v>45</v>
      </c>
      <c r="H6" s="61"/>
      <c r="I6" s="61"/>
    </row>
    <row r="7" spans="1:9" ht="23.5" customHeight="1" thickBot="1">
      <c r="A7" s="66" t="s">
        <v>32</v>
      </c>
      <c r="B7" s="171"/>
      <c r="C7" s="172"/>
      <c r="D7" s="173"/>
      <c r="E7" s="171"/>
      <c r="F7" s="171"/>
      <c r="G7" s="175"/>
      <c r="H7" s="61"/>
      <c r="I7" s="61"/>
    </row>
    <row r="8" spans="1:9" ht="40.5" customHeight="1" thickBot="1">
      <c r="A8" s="65">
        <v>1</v>
      </c>
      <c r="B8" s="163" t="s">
        <v>50</v>
      </c>
      <c r="C8" s="164"/>
      <c r="D8" s="165"/>
      <c r="E8" s="94">
        <v>350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63"/>
      <c r="C9" s="164"/>
      <c r="D9" s="165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63"/>
      <c r="C10" s="164"/>
      <c r="D10" s="165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63"/>
      <c r="C11" s="164"/>
      <c r="D11" s="165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63"/>
      <c r="C14" s="164"/>
      <c r="D14" s="165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63"/>
      <c r="C15" s="164"/>
      <c r="D15" s="165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63"/>
      <c r="C16" s="164"/>
      <c r="D16" s="165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63"/>
      <c r="C17" s="164"/>
      <c r="D17" s="165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63"/>
      <c r="C18" s="164"/>
      <c r="D18" s="165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63"/>
      <c r="C19" s="164"/>
      <c r="D19" s="165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63"/>
      <c r="C20" s="164"/>
      <c r="D20" s="165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63"/>
      <c r="C21" s="164"/>
      <c r="D21" s="165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63"/>
      <c r="C28" s="164"/>
      <c r="D28" s="165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A1:G1"/>
    <mergeCell ref="A2:G2"/>
    <mergeCell ref="B6:D7"/>
    <mergeCell ref="F6:F7"/>
    <mergeCell ref="G6:G7"/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66" t="s">
        <v>31</v>
      </c>
      <c r="B1" s="166"/>
      <c r="C1" s="166"/>
      <c r="D1" s="166"/>
      <c r="E1" s="166"/>
      <c r="F1" s="166"/>
      <c r="G1" s="166"/>
      <c r="H1" s="62"/>
    </row>
    <row r="2" spans="1:9" s="61" customFormat="1" ht="21">
      <c r="A2" s="167" t="s">
        <v>47</v>
      </c>
      <c r="B2" s="167"/>
      <c r="C2" s="167"/>
      <c r="D2" s="167"/>
      <c r="E2" s="167"/>
      <c r="F2" s="167"/>
      <c r="G2" s="167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68" t="s">
        <v>49</v>
      </c>
      <c r="C6" s="169"/>
      <c r="D6" s="170"/>
      <c r="E6" s="168" t="s">
        <v>48</v>
      </c>
      <c r="F6" s="168" t="s">
        <v>44</v>
      </c>
      <c r="G6" s="174" t="s">
        <v>45</v>
      </c>
      <c r="H6" s="61"/>
      <c r="I6" s="61"/>
    </row>
    <row r="7" spans="1:9" ht="23.5" customHeight="1" thickBot="1">
      <c r="A7" s="66" t="s">
        <v>32</v>
      </c>
      <c r="B7" s="171"/>
      <c r="C7" s="172"/>
      <c r="D7" s="173"/>
      <c r="E7" s="171"/>
      <c r="F7" s="171"/>
      <c r="G7" s="175"/>
      <c r="H7" s="61"/>
      <c r="I7" s="61"/>
    </row>
    <row r="8" spans="1:9" ht="40.5" customHeight="1" thickBot="1">
      <c r="A8" s="65">
        <v>1</v>
      </c>
      <c r="B8" s="163" t="s">
        <v>51</v>
      </c>
      <c r="C8" s="164"/>
      <c r="D8" s="165"/>
      <c r="E8" s="94">
        <v>700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63"/>
      <c r="C9" s="164"/>
      <c r="D9" s="165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63"/>
      <c r="C10" s="164"/>
      <c r="D10" s="165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63"/>
      <c r="C11" s="164"/>
      <c r="D11" s="165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63"/>
      <c r="C14" s="164"/>
      <c r="D14" s="165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63"/>
      <c r="C15" s="164"/>
      <c r="D15" s="165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63"/>
      <c r="C16" s="164"/>
      <c r="D16" s="165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63"/>
      <c r="C17" s="164"/>
      <c r="D17" s="165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63"/>
      <c r="C18" s="164"/>
      <c r="D18" s="165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63"/>
      <c r="C19" s="164"/>
      <c r="D19" s="165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63"/>
      <c r="C20" s="164"/>
      <c r="D20" s="165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63"/>
      <c r="C21" s="164"/>
      <c r="D21" s="165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63"/>
      <c r="C28" s="164"/>
      <c r="D28" s="165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66" t="s">
        <v>31</v>
      </c>
      <c r="B1" s="166"/>
      <c r="C1" s="166"/>
      <c r="D1" s="166"/>
      <c r="E1" s="166"/>
      <c r="F1" s="166"/>
      <c r="G1" s="166"/>
      <c r="H1" s="62"/>
    </row>
    <row r="2" spans="1:9" s="61" customFormat="1" ht="21">
      <c r="A2" s="167" t="s">
        <v>47</v>
      </c>
      <c r="B2" s="167"/>
      <c r="C2" s="167"/>
      <c r="D2" s="167"/>
      <c r="E2" s="167"/>
      <c r="F2" s="167"/>
      <c r="G2" s="167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68" t="s">
        <v>49</v>
      </c>
      <c r="C6" s="169"/>
      <c r="D6" s="170"/>
      <c r="E6" s="168" t="s">
        <v>48</v>
      </c>
      <c r="F6" s="168" t="s">
        <v>44</v>
      </c>
      <c r="G6" s="174" t="s">
        <v>45</v>
      </c>
      <c r="H6" s="61"/>
      <c r="I6" s="61"/>
    </row>
    <row r="7" spans="1:9" ht="23.5" customHeight="1" thickBot="1">
      <c r="A7" s="66" t="s">
        <v>32</v>
      </c>
      <c r="B7" s="171"/>
      <c r="C7" s="172"/>
      <c r="D7" s="173"/>
      <c r="E7" s="171"/>
      <c r="F7" s="171"/>
      <c r="G7" s="175"/>
      <c r="H7" s="61"/>
      <c r="I7" s="61"/>
    </row>
    <row r="8" spans="1:9" ht="40.5" customHeight="1" thickBot="1">
      <c r="A8" s="65">
        <v>1</v>
      </c>
      <c r="B8" s="163" t="s">
        <v>52</v>
      </c>
      <c r="C8" s="164"/>
      <c r="D8" s="165"/>
      <c r="E8" s="94">
        <v>290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63"/>
      <c r="C9" s="164"/>
      <c r="D9" s="165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63"/>
      <c r="C10" s="164"/>
      <c r="D10" s="165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63"/>
      <c r="C11" s="164"/>
      <c r="D11" s="165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63"/>
      <c r="C14" s="164"/>
      <c r="D14" s="165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63"/>
      <c r="C15" s="164"/>
      <c r="D15" s="165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63"/>
      <c r="C16" s="164"/>
      <c r="D16" s="165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63"/>
      <c r="C17" s="164"/>
      <c r="D17" s="165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63"/>
      <c r="C18" s="164"/>
      <c r="D18" s="165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63"/>
      <c r="C19" s="164"/>
      <c r="D19" s="165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63"/>
      <c r="C20" s="164"/>
      <c r="D20" s="165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63"/>
      <c r="C21" s="164"/>
      <c r="D21" s="165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63"/>
      <c r="C28" s="164"/>
      <c r="D28" s="165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Quarterly Statement</vt:lpstr>
      <vt:lpstr>Top Level</vt:lpstr>
      <vt:lpstr>Data Entry</vt:lpstr>
      <vt:lpstr>Bank Accounts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Accounts</vt:lpstr>
      <vt:lpstr>BankAccounts</vt:lpstr>
      <vt:lpstr>BegPrincipal</vt:lpstr>
      <vt:lpstr>Chart</vt:lpstr>
      <vt:lpstr>CurrentYr</vt:lpstr>
      <vt:lpstr>CurrQtr</vt:lpstr>
      <vt:lpstr>LKMonth</vt:lpstr>
      <vt:lpstr>LKMonthName</vt:lpstr>
      <vt:lpstr>LKQtr</vt:lpstr>
      <vt:lpstr>'Data Entry'!Print_Titles</vt:lpstr>
      <vt:lpstr>Reserve</vt:lpstr>
      <vt:lpstr>SumAccount</vt:lpstr>
      <vt:lpstr>SumBank</vt:lpstr>
      <vt:lpstr>SumExp</vt:lpstr>
      <vt:lpstr>SumMonth</vt:lpstr>
      <vt:lpstr>SumMonthNum</vt:lpstr>
      <vt:lpstr>SumRevenue</vt:lpstr>
    </vt:vector>
  </TitlesOfParts>
  <Company>The Bon-Ton Stores,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Dawn Jacobson</cp:lastModifiedBy>
  <cp:lastPrinted>2020-03-22T18:38:02Z</cp:lastPrinted>
  <dcterms:created xsi:type="dcterms:W3CDTF">2013-11-11T13:58:06Z</dcterms:created>
  <dcterms:modified xsi:type="dcterms:W3CDTF">2020-03-22T18:44:47Z</dcterms:modified>
</cp:coreProperties>
</file>