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1325" windowHeight="6030" activeTab="1"/>
  </bookViews>
  <sheets>
    <sheet name="Budget" sheetId="4" r:id="rId1"/>
    <sheet name="Balance Sheet" sheetId="1" r:id="rId2"/>
    <sheet name="Notes" sheetId="2" r:id="rId3"/>
    <sheet name="Projection" sheetId="3" r:id="rId4"/>
  </sheets>
  <definedNames>
    <definedName name="BALANCE" localSheetId="3">Projection!$A$1:$F$20</definedName>
    <definedName name="BALANCE">'Balance Sheet'!$A$1:$H$65</definedName>
    <definedName name="NOTES">Notes!$A$1</definedName>
    <definedName name="_xlnm.Print_Area" localSheetId="3">Projection!$A$1:$H$20</definedName>
    <definedName name="_xlnm.Print_Area">'Balance Sheet'!$A$1:$I$65</definedName>
  </definedNames>
  <calcPr calcId="125725"/>
</workbook>
</file>

<file path=xl/calcChain.xml><?xml version="1.0" encoding="utf-8"?>
<calcChain xmlns="http://schemas.openxmlformats.org/spreadsheetml/2006/main">
  <c r="G63" i="1"/>
  <c r="G21"/>
  <c r="I65"/>
  <c r="G47"/>
  <c r="G50" s="1"/>
  <c r="G61"/>
  <c r="G22"/>
  <c r="G14"/>
  <c r="E28" i="4"/>
  <c r="J19"/>
  <c r="E11"/>
  <c r="E10"/>
  <c r="E9"/>
  <c r="E20"/>
  <c r="E8"/>
  <c r="E24" s="1"/>
  <c r="E19"/>
  <c r="E21"/>
  <c r="J13"/>
  <c r="J24" s="1"/>
  <c r="O19"/>
  <c r="O24" s="1"/>
  <c r="E27"/>
  <c r="AP24" i="3"/>
  <c r="AP27" s="1"/>
  <c r="AP25"/>
  <c r="AP26"/>
  <c r="F14"/>
  <c r="H14" s="1"/>
  <c r="I14" s="1"/>
  <c r="J14" s="1"/>
  <c r="K14" s="1"/>
  <c r="L14" s="1"/>
  <c r="M14" s="1"/>
  <c r="N14" s="1"/>
  <c r="O14" s="1"/>
  <c r="P14" s="1"/>
  <c r="Q14" s="1"/>
  <c r="R14" s="1"/>
  <c r="S14" s="1"/>
  <c r="T14" s="1"/>
  <c r="U14" s="1"/>
  <c r="V14" s="1"/>
  <c r="W14" s="1"/>
  <c r="X14" s="1"/>
  <c r="Y14" s="1"/>
  <c r="Z14" s="1"/>
  <c r="AA14" s="1"/>
  <c r="AB14" s="1"/>
  <c r="AC14" s="1"/>
  <c r="AD14" s="1"/>
  <c r="AE14" s="1"/>
  <c r="AF14" s="1"/>
  <c r="AG14" s="1"/>
  <c r="AH14" s="1"/>
  <c r="AI14" s="1"/>
  <c r="AJ14" s="1"/>
  <c r="AK14" s="1"/>
  <c r="AL14" s="1"/>
  <c r="AM14" s="1"/>
  <c r="AN14" s="1"/>
  <c r="AO14" s="1"/>
  <c r="F12"/>
  <c r="H12" s="1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AM12" s="1"/>
  <c r="AN12" s="1"/>
  <c r="AO12" s="1"/>
  <c r="F9"/>
  <c r="H9" s="1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F10"/>
  <c r="H10" s="1"/>
  <c r="I10" s="1"/>
  <c r="J10" s="1"/>
  <c r="K10" s="1"/>
  <c r="L10" s="1"/>
  <c r="M10" s="1"/>
  <c r="N10" s="1"/>
  <c r="O10" s="1"/>
  <c r="P10" s="1"/>
  <c r="Q10" s="1"/>
  <c r="R10" s="1"/>
  <c r="S10" s="1"/>
  <c r="T10" s="1"/>
  <c r="U10" s="1"/>
  <c r="V10" s="1"/>
  <c r="W10" s="1"/>
  <c r="X10" s="1"/>
  <c r="Y10" s="1"/>
  <c r="Z10" s="1"/>
  <c r="AA10" s="1"/>
  <c r="AB10" s="1"/>
  <c r="AC10" s="1"/>
  <c r="AD10" s="1"/>
  <c r="AE10" s="1"/>
  <c r="AF10" s="1"/>
  <c r="AG10" s="1"/>
  <c r="AH10" s="1"/>
  <c r="AI10" s="1"/>
  <c r="AJ10" s="1"/>
  <c r="AK10" s="1"/>
  <c r="AL10" s="1"/>
  <c r="AM10" s="1"/>
  <c r="AN10" s="1"/>
  <c r="AO10" s="1"/>
  <c r="F11"/>
  <c r="H11" s="1"/>
  <c r="I11" s="1"/>
  <c r="J11" s="1"/>
  <c r="K11" s="1"/>
  <c r="L11" s="1"/>
  <c r="M11" s="1"/>
  <c r="N11" s="1"/>
  <c r="O11" s="1"/>
  <c r="P11" s="1"/>
  <c r="Q11" s="1"/>
  <c r="R11" s="1"/>
  <c r="S11" s="1"/>
  <c r="T11" s="1"/>
  <c r="U11" s="1"/>
  <c r="V11" s="1"/>
  <c r="W11" s="1"/>
  <c r="X11" s="1"/>
  <c r="Y11" s="1"/>
  <c r="Z11" s="1"/>
  <c r="AA11" s="1"/>
  <c r="AB11" s="1"/>
  <c r="AC11" s="1"/>
  <c r="AD11" s="1"/>
  <c r="AE11" s="1"/>
  <c r="AF11" s="1"/>
  <c r="AG11" s="1"/>
  <c r="AH11" s="1"/>
  <c r="AI11" s="1"/>
  <c r="AJ11" s="1"/>
  <c r="AK11" s="1"/>
  <c r="AL11" s="1"/>
  <c r="AM11" s="1"/>
  <c r="AN11" s="1"/>
  <c r="AO11" s="1"/>
  <c r="F13"/>
  <c r="G13"/>
  <c r="G14"/>
  <c r="F15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AI15" s="1"/>
  <c r="AJ15" s="1"/>
  <c r="AK15" s="1"/>
  <c r="AL15" s="1"/>
  <c r="AM15" s="1"/>
  <c r="AN15" s="1"/>
  <c r="AO15" s="1"/>
  <c r="F16"/>
  <c r="G16"/>
  <c r="F17"/>
  <c r="H17" s="1"/>
  <c r="I17" s="1"/>
  <c r="J17" s="1"/>
  <c r="K17" s="1"/>
  <c r="L17" s="1"/>
  <c r="M17" s="1"/>
  <c r="N17" s="1"/>
  <c r="O17" s="1"/>
  <c r="P17" s="1"/>
  <c r="Q17" s="1"/>
  <c r="R17" s="1"/>
  <c r="S17" s="1"/>
  <c r="T17" s="1"/>
  <c r="U17" s="1"/>
  <c r="V17" s="1"/>
  <c r="W17" s="1"/>
  <c r="X17" s="1"/>
  <c r="Y17" s="1"/>
  <c r="Z17" s="1"/>
  <c r="AA17" s="1"/>
  <c r="AB17" s="1"/>
  <c r="AC17" s="1"/>
  <c r="AD17" s="1"/>
  <c r="AE17" s="1"/>
  <c r="AF17" s="1"/>
  <c r="AG17" s="1"/>
  <c r="AH17" s="1"/>
  <c r="AI17" s="1"/>
  <c r="AJ17" s="1"/>
  <c r="AK17" s="1"/>
  <c r="AL17" s="1"/>
  <c r="AM17" s="1"/>
  <c r="AN17" s="1"/>
  <c r="AO17" s="1"/>
  <c r="F18"/>
  <c r="H18" s="1"/>
  <c r="I18" s="1"/>
  <c r="J18" s="1"/>
  <c r="K18" s="1"/>
  <c r="L18" s="1"/>
  <c r="M18" s="1"/>
  <c r="N18" s="1"/>
  <c r="O18" s="1"/>
  <c r="P18" s="1"/>
  <c r="Q18" s="1"/>
  <c r="R18" s="1"/>
  <c r="S18" s="1"/>
  <c r="T18" s="1"/>
  <c r="U18" s="1"/>
  <c r="V18" s="1"/>
  <c r="W18" s="1"/>
  <c r="X18" s="1"/>
  <c r="Y18" s="1"/>
  <c r="Z18" s="1"/>
  <c r="AA18" s="1"/>
  <c r="AB18" s="1"/>
  <c r="AC18" s="1"/>
  <c r="AD18" s="1"/>
  <c r="AE18" s="1"/>
  <c r="AF18" s="1"/>
  <c r="AG18" s="1"/>
  <c r="AH18" s="1"/>
  <c r="AI18" s="1"/>
  <c r="AJ18" s="1"/>
  <c r="AK18" s="1"/>
  <c r="AL18" s="1"/>
  <c r="AM18" s="1"/>
  <c r="AN18" s="1"/>
  <c r="AO18" s="1"/>
  <c r="F19"/>
  <c r="H19"/>
  <c r="I19" s="1"/>
  <c r="J19" s="1"/>
  <c r="K19" s="1"/>
  <c r="L19" s="1"/>
  <c r="M19" s="1"/>
  <c r="N19" s="1"/>
  <c r="O19" s="1"/>
  <c r="P19" s="1"/>
  <c r="Q19" s="1"/>
  <c r="R19" s="1"/>
  <c r="S19" s="1"/>
  <c r="T19" s="1"/>
  <c r="U19" s="1"/>
  <c r="V19" s="1"/>
  <c r="W19" s="1"/>
  <c r="X19" s="1"/>
  <c r="Y19" s="1"/>
  <c r="Z19" s="1"/>
  <c r="AA19" s="1"/>
  <c r="AB19" s="1"/>
  <c r="AC19" s="1"/>
  <c r="AD19" s="1"/>
  <c r="AE19" s="1"/>
  <c r="AF19" s="1"/>
  <c r="AG19" s="1"/>
  <c r="AH19" s="1"/>
  <c r="AI19" s="1"/>
  <c r="AJ19" s="1"/>
  <c r="AK19" s="1"/>
  <c r="AL19" s="1"/>
  <c r="AM19" s="1"/>
  <c r="AN19" s="1"/>
  <c r="AO19" s="1"/>
  <c r="F20"/>
  <c r="H20" s="1"/>
  <c r="I20" s="1"/>
  <c r="J20" s="1"/>
  <c r="K20" s="1"/>
  <c r="L20" s="1"/>
  <c r="M20" s="1"/>
  <c r="N20" s="1"/>
  <c r="O20" s="1"/>
  <c r="P20" s="1"/>
  <c r="Q20" s="1"/>
  <c r="R20" s="1"/>
  <c r="S20" s="1"/>
  <c r="T20" s="1"/>
  <c r="U20" s="1"/>
  <c r="V20" s="1"/>
  <c r="W20" s="1"/>
  <c r="X20" s="1"/>
  <c r="Y20" s="1"/>
  <c r="Z20" s="1"/>
  <c r="AA20" s="1"/>
  <c r="AB20" s="1"/>
  <c r="AC20" s="1"/>
  <c r="AD20" s="1"/>
  <c r="AE20" s="1"/>
  <c r="AF20" s="1"/>
  <c r="AG20" s="1"/>
  <c r="AH20" s="1"/>
  <c r="AI20" s="1"/>
  <c r="AJ20" s="1"/>
  <c r="AK20" s="1"/>
  <c r="AL20" s="1"/>
  <c r="AM20" s="1"/>
  <c r="AN20" s="1"/>
  <c r="AO20" s="1"/>
  <c r="A2"/>
  <c r="A20"/>
  <c r="A19"/>
  <c r="A18"/>
  <c r="A17"/>
  <c r="A16"/>
  <c r="A15"/>
  <c r="A14"/>
  <c r="A13"/>
  <c r="A12"/>
  <c r="A11"/>
  <c r="A10"/>
  <c r="A9"/>
  <c r="G32" i="1"/>
  <c r="G44" s="1"/>
  <c r="G52" s="1"/>
  <c r="G64"/>
  <c r="G84"/>
  <c r="G75"/>
  <c r="F21" i="3" l="1"/>
  <c r="G54" i="1"/>
  <c r="G65" s="1"/>
  <c r="H16" i="3"/>
  <c r="I16" s="1"/>
  <c r="J16" s="1"/>
  <c r="K16" s="1"/>
  <c r="L16" s="1"/>
  <c r="M16" s="1"/>
  <c r="N16" s="1"/>
  <c r="O16" s="1"/>
  <c r="P16" s="1"/>
  <c r="Q16" s="1"/>
  <c r="R16" s="1"/>
  <c r="S16" s="1"/>
  <c r="T16" s="1"/>
  <c r="U16" s="1"/>
  <c r="V16" s="1"/>
  <c r="W16" s="1"/>
  <c r="X16" s="1"/>
  <c r="Y16" s="1"/>
  <c r="Z16" s="1"/>
  <c r="AA16" s="1"/>
  <c r="AB16" s="1"/>
  <c r="AC16" s="1"/>
  <c r="AD16" s="1"/>
  <c r="AE16" s="1"/>
  <c r="AF16" s="1"/>
  <c r="AG16" s="1"/>
  <c r="AH16" s="1"/>
  <c r="AI16" s="1"/>
  <c r="AJ16" s="1"/>
  <c r="AK16" s="1"/>
  <c r="AL16" s="1"/>
  <c r="AM16" s="1"/>
  <c r="AN16" s="1"/>
  <c r="AO16" s="1"/>
  <c r="H13"/>
  <c r="I13" s="1"/>
  <c r="J13" s="1"/>
  <c r="K13" s="1"/>
  <c r="L13" s="1"/>
  <c r="M13" s="1"/>
  <c r="N13" s="1"/>
  <c r="O13" s="1"/>
  <c r="P13" s="1"/>
  <c r="Q13" s="1"/>
  <c r="R13" s="1"/>
  <c r="S13" s="1"/>
  <c r="T13" s="1"/>
  <c r="U13" s="1"/>
  <c r="V13" s="1"/>
  <c r="W13" s="1"/>
  <c r="X13" s="1"/>
  <c r="Y13" s="1"/>
  <c r="Z13" s="1"/>
  <c r="AA13" s="1"/>
  <c r="AB13" s="1"/>
  <c r="AC13" s="1"/>
  <c r="AD13" s="1"/>
  <c r="AE13" s="1"/>
  <c r="AF13" s="1"/>
  <c r="AG13" s="1"/>
  <c r="AH13" s="1"/>
  <c r="AI13" s="1"/>
  <c r="AJ13" s="1"/>
  <c r="AK13" s="1"/>
  <c r="AL13" s="1"/>
  <c r="AM13" s="1"/>
  <c r="AN13" s="1"/>
  <c r="AO13" s="1"/>
  <c r="E29" i="4"/>
  <c r="E30" s="1"/>
  <c r="H21" i="3"/>
  <c r="I9"/>
  <c r="G67" i="1"/>
  <c r="G21" i="3"/>
  <c r="J9" l="1"/>
  <c r="I21"/>
  <c r="K9" l="1"/>
  <c r="J21"/>
  <c r="L9" l="1"/>
  <c r="K21"/>
  <c r="L21" l="1"/>
  <c r="M9"/>
  <c r="N9" l="1"/>
  <c r="M21"/>
  <c r="O9" l="1"/>
  <c r="N21"/>
  <c r="P9" l="1"/>
  <c r="O21"/>
  <c r="P21" l="1"/>
  <c r="Q9"/>
  <c r="R9" l="1"/>
  <c r="Q21"/>
  <c r="S9" l="1"/>
  <c r="R21"/>
  <c r="T9" l="1"/>
  <c r="S21"/>
  <c r="T21" l="1"/>
  <c r="U9"/>
  <c r="V9" l="1"/>
  <c r="U21"/>
  <c r="W9" l="1"/>
  <c r="V21"/>
  <c r="X9" l="1"/>
  <c r="W21"/>
  <c r="Y9" l="1"/>
  <c r="X21"/>
  <c r="Z9" l="1"/>
  <c r="Y21"/>
  <c r="AA9" l="1"/>
  <c r="Z21"/>
  <c r="AB9" l="1"/>
  <c r="AA21"/>
  <c r="AC9" l="1"/>
  <c r="AB21"/>
  <c r="AD9" l="1"/>
  <c r="AC21"/>
  <c r="AD21" l="1"/>
  <c r="AE9"/>
  <c r="AF9" l="1"/>
  <c r="AE21"/>
  <c r="AG9" l="1"/>
  <c r="AF21"/>
  <c r="AH9" l="1"/>
  <c r="AG21"/>
  <c r="AI9" l="1"/>
  <c r="AH21"/>
  <c r="AJ9" l="1"/>
  <c r="AI21"/>
  <c r="AJ21" l="1"/>
  <c r="AK9"/>
  <c r="AL9" l="1"/>
  <c r="AK21"/>
  <c r="AM9" l="1"/>
  <c r="AL21"/>
  <c r="AN9" l="1"/>
  <c r="AM21"/>
  <c r="AN21" l="1"/>
  <c r="AO9"/>
  <c r="AO21" s="1"/>
</calcChain>
</file>

<file path=xl/sharedStrings.xml><?xml version="1.0" encoding="utf-8"?>
<sst xmlns="http://schemas.openxmlformats.org/spreadsheetml/2006/main" count="214" uniqueCount="200">
  <si>
    <t>ASSETS:</t>
  </si>
  <si>
    <t>Current Assets:</t>
  </si>
  <si>
    <t>Total Current Assets</t>
  </si>
  <si>
    <t>Long Term Assets:</t>
  </si>
  <si>
    <t>Cash Investments:</t>
  </si>
  <si>
    <t xml:space="preserve">  Aim Constellation Fund</t>
  </si>
  <si>
    <t xml:space="preserve">  Aim Capital Development Fund</t>
  </si>
  <si>
    <t xml:space="preserve">  Putnam Growth &amp; Income</t>
  </si>
  <si>
    <t>Total Cash Investments</t>
  </si>
  <si>
    <t>Other:</t>
  </si>
  <si>
    <t xml:space="preserve">  7140 Aspen Court</t>
  </si>
  <si>
    <t>NC</t>
  </si>
  <si>
    <t xml:space="preserve">  Prudential Life Insurance Policy - Dawn</t>
  </si>
  <si>
    <t>Death Benefit (June, 1999)</t>
  </si>
  <si>
    <t xml:space="preserve">  NML Life Insurance - Term - Dawn</t>
  </si>
  <si>
    <t xml:space="preserve">  NML Life Insurance - Whole Life - Dawn</t>
  </si>
  <si>
    <t xml:space="preserve">  NML Life Insurance - Whole Life - Steve</t>
  </si>
  <si>
    <t xml:space="preserve">  State Farm Insurance Policy - Emily</t>
  </si>
  <si>
    <t xml:space="preserve">  CNA - Life Insurance - Steve</t>
  </si>
  <si>
    <t xml:space="preserve">  Philadelphia Life Insurance - Steve</t>
  </si>
  <si>
    <t xml:space="preserve">  M &amp; I Bank - Steve's IRA</t>
  </si>
  <si>
    <t xml:space="preserve">  NML - 401K Fund</t>
  </si>
  <si>
    <t xml:space="preserve">  SCJ Wax - Retirement Medical Savings Account</t>
  </si>
  <si>
    <t xml:space="preserve">  Johnson International - 401K Fund</t>
  </si>
  <si>
    <t>Total Other</t>
  </si>
  <si>
    <t>Total Long Term Assets</t>
  </si>
  <si>
    <t>Total Assets</t>
  </si>
  <si>
    <t>Mortgage:</t>
  </si>
  <si>
    <t>Total Mortgage</t>
  </si>
  <si>
    <t>Balance</t>
  </si>
  <si>
    <t>NOTES:</t>
  </si>
  <si>
    <t>Associated Mortgage</t>
  </si>
  <si>
    <t>Phone Number:   1-800-242-2470</t>
  </si>
  <si>
    <t>P.O. Box 12620</t>
  </si>
  <si>
    <t>Green Bay, WI  54307-2620</t>
  </si>
  <si>
    <t>Loan #88004</t>
  </si>
  <si>
    <t>Checking Account Number:   08000156158</t>
  </si>
  <si>
    <t>ECU's Rounting ABA Number:    275981378</t>
  </si>
  <si>
    <t>LIABILITIES &amp; NET WORTH:</t>
  </si>
  <si>
    <t>Total NET WORTH</t>
  </si>
  <si>
    <t>Total Liabilities &amp; Net Worth</t>
  </si>
  <si>
    <t>EMILY'S Information:</t>
  </si>
  <si>
    <t>Total Emily's Net Worth</t>
  </si>
  <si>
    <t xml:space="preserve">  SCJ Wax - Cash Balance Pension Plan</t>
  </si>
  <si>
    <t>Investments at Dad &amp; Mom's:</t>
  </si>
  <si>
    <t>Total Investments at Dad &amp; Mom's</t>
  </si>
  <si>
    <t>Net Worth (excluding Life Insurance Policies)</t>
  </si>
  <si>
    <t xml:space="preserve">  SCJ Life Insurance - Dawn (5 x Pay)</t>
  </si>
  <si>
    <t xml:space="preserve">  SCJ Life Insurance - Steve</t>
  </si>
  <si>
    <t xml:space="preserve">  SCJ Life Insurance - Emily</t>
  </si>
  <si>
    <t xml:space="preserve">  Prudential IRA - Dawn</t>
  </si>
  <si>
    <t>Balance Sheet</t>
  </si>
  <si>
    <t>DAWN &amp; STEVE JACOBOSON</t>
  </si>
  <si>
    <t xml:space="preserve">  Webster Electric Credit Union (Danfoss/MCU)</t>
  </si>
  <si>
    <t xml:space="preserve">  Sunnyslope Condo</t>
  </si>
  <si>
    <t>Johnson Trust Loan ($160,288.23)</t>
  </si>
  <si>
    <t xml:space="preserve">  ECU - Checking Account - #08</t>
  </si>
  <si>
    <t xml:space="preserve">  ECU - Savings Account - #00</t>
  </si>
  <si>
    <t>RYAN'S Information:</t>
  </si>
  <si>
    <t xml:space="preserve">  ECU Savings Account - #00</t>
  </si>
  <si>
    <t xml:space="preserve">  ECU CD - #40</t>
  </si>
  <si>
    <t>Total Ryan's Net Worth</t>
  </si>
  <si>
    <t xml:space="preserve">  ECU Savings Account - #11</t>
  </si>
  <si>
    <t xml:space="preserve">  SCJ Life Insurance - Ryan</t>
  </si>
  <si>
    <t xml:space="preserve">  The American Funds (Growth Fund of America - Class A)</t>
  </si>
  <si>
    <t xml:space="preserve">  Aim Global Growth</t>
  </si>
  <si>
    <t xml:space="preserve">  ECU - Money Market Account - #02</t>
  </si>
  <si>
    <t xml:space="preserve">  Trivent Investment Large Cap Stock Fund</t>
  </si>
  <si>
    <t xml:space="preserve">  NML Life Insurance - Ryan</t>
  </si>
  <si>
    <t xml:space="preserve">  SCJ Wax - 401K Fund (Deferred Profit Sharing and Savings Plan)</t>
  </si>
  <si>
    <t>NC (Total Investment Value - $953.50)</t>
  </si>
  <si>
    <t>MOM'S Information:</t>
  </si>
  <si>
    <t xml:space="preserve">  ECU - Special Savings Account - #03 (From Grandma Kralicek)</t>
  </si>
  <si>
    <t xml:space="preserve">  Johnson Bank - Savings Account</t>
  </si>
  <si>
    <t xml:space="preserve">  ECU Savings Account - #04</t>
  </si>
  <si>
    <t xml:space="preserve">  Karen Schmidt - Cleaning</t>
  </si>
  <si>
    <t>9/6/06 gave raise from $50 for 4 hours ($12.50/hour) to $55 for 4 hours ($13.75/hour)</t>
  </si>
  <si>
    <t>MISC NOTES:</t>
  </si>
  <si>
    <t>Total</t>
  </si>
  <si>
    <t>Current</t>
  </si>
  <si>
    <t>Years until Retirement:</t>
  </si>
  <si>
    <t>% annual earnings</t>
  </si>
  <si>
    <t>Annual additional Investment</t>
  </si>
  <si>
    <t>Retirement Year 1</t>
  </si>
  <si>
    <t>Retirement Year 2</t>
  </si>
  <si>
    <t>Retirement Year 3</t>
  </si>
  <si>
    <t>Retirement Year 4</t>
  </si>
  <si>
    <t>Retirement Year 5</t>
  </si>
  <si>
    <t>Retirement Year 6</t>
  </si>
  <si>
    <t>Retirement Year 7</t>
  </si>
  <si>
    <t>Retirement Year 8</t>
  </si>
  <si>
    <t>Retirement Year 9</t>
  </si>
  <si>
    <t>Retirement Year 10</t>
  </si>
  <si>
    <t>Retirement Year 11</t>
  </si>
  <si>
    <t>Retirement Year 12</t>
  </si>
  <si>
    <t>Retirement Year 13</t>
  </si>
  <si>
    <t>Retirement Year 14</t>
  </si>
  <si>
    <t>Retirement Year 15</t>
  </si>
  <si>
    <t>Retirement Year 16</t>
  </si>
  <si>
    <t>Retirement Year 17</t>
  </si>
  <si>
    <t>Retirement Year 18</t>
  </si>
  <si>
    <t>Retirement Year 19</t>
  </si>
  <si>
    <t>Retirement Year 20</t>
  </si>
  <si>
    <t xml:space="preserve">  With Drawals:</t>
  </si>
  <si>
    <t xml:space="preserve">         Retirement Living</t>
  </si>
  <si>
    <t>Total Available Dollars (Investments less withdrawals)</t>
  </si>
  <si>
    <t>Investment Year 1</t>
  </si>
  <si>
    <t>Investment Year 2</t>
  </si>
  <si>
    <t>Investment Year 3</t>
  </si>
  <si>
    <t>Investment Year 4</t>
  </si>
  <si>
    <t>Investment Year 5</t>
  </si>
  <si>
    <t>Investment Year 6</t>
  </si>
  <si>
    <t>Investment Year 7</t>
  </si>
  <si>
    <t>Investment Year 8</t>
  </si>
  <si>
    <t>Investment Year 9</t>
  </si>
  <si>
    <t>Investment Year 10</t>
  </si>
  <si>
    <t>Investment Year 11</t>
  </si>
  <si>
    <t>Investment Year 12</t>
  </si>
  <si>
    <t>Investment Year 13</t>
  </si>
  <si>
    <t>Investment Year 14</t>
  </si>
  <si>
    <t xml:space="preserve">  Total Withdrawals</t>
  </si>
  <si>
    <t>Emily</t>
  </si>
  <si>
    <t>Ryan</t>
  </si>
  <si>
    <t xml:space="preserve">         Emily School and Wedding</t>
  </si>
  <si>
    <t xml:space="preserve">         Ryan School and Wedding</t>
  </si>
  <si>
    <t>Retirement Living</t>
  </si>
  <si>
    <t>Purchase Price (FMV $285,423)</t>
  </si>
  <si>
    <t>NW Prior Year</t>
  </si>
  <si>
    <t>NW Change</t>
  </si>
  <si>
    <t xml:space="preserve">  Valley Forge Life Insurance - Steve</t>
  </si>
  <si>
    <t>May 10, 2008 (Death Benefit $10,000)</t>
  </si>
  <si>
    <t>May 10, 2008 (Death Benefit $39,215)</t>
  </si>
  <si>
    <t>Property Taxes</t>
  </si>
  <si>
    <t>Home Maintenance</t>
  </si>
  <si>
    <t>Homeowner's Insurance</t>
  </si>
  <si>
    <t xml:space="preserve">     </t>
  </si>
  <si>
    <t>Utilities:</t>
  </si>
  <si>
    <t>Electric / Gas</t>
  </si>
  <si>
    <t>Water</t>
  </si>
  <si>
    <t>Transportation:</t>
  </si>
  <si>
    <t>Housing:</t>
  </si>
  <si>
    <t>Auto Payments</t>
  </si>
  <si>
    <t>Auto Insurance</t>
  </si>
  <si>
    <t>Gas</t>
  </si>
  <si>
    <t>Maintenance / License</t>
  </si>
  <si>
    <t>Parking/Tolls/Bus/Train</t>
  </si>
  <si>
    <t>Total Column 1</t>
  </si>
  <si>
    <t>Groceries</t>
  </si>
  <si>
    <t>Personal Care</t>
  </si>
  <si>
    <t>Domestic Help</t>
  </si>
  <si>
    <t>Professional Dues</t>
  </si>
  <si>
    <t>Dependent / Child Care</t>
  </si>
  <si>
    <t>Education / School</t>
  </si>
  <si>
    <t>Cash / Allowances</t>
  </si>
  <si>
    <t>Personal Insurance:</t>
  </si>
  <si>
    <t>Household / Personal:</t>
  </si>
  <si>
    <t>May 2008</t>
  </si>
  <si>
    <t>Total Column 2</t>
  </si>
  <si>
    <t>Loan Payments / Savings:</t>
  </si>
  <si>
    <t>Credit Card Payments</t>
  </si>
  <si>
    <t>Other Loan Payments</t>
  </si>
  <si>
    <t>Savings / Investing</t>
  </si>
  <si>
    <t>Discretionary:</t>
  </si>
  <si>
    <t>Dining Out</t>
  </si>
  <si>
    <t>Recreation / Club Dues</t>
  </si>
  <si>
    <t>Movies / Sporting Events</t>
  </si>
  <si>
    <t>Hobbies</t>
  </si>
  <si>
    <t>Vacation  / Travel</t>
  </si>
  <si>
    <t>Gifts / Contributions</t>
  </si>
  <si>
    <t>Total Column 3</t>
  </si>
  <si>
    <r>
      <t xml:space="preserve">Mortgage/Rent </t>
    </r>
    <r>
      <rPr>
        <sz val="10"/>
        <rFont val="Helv"/>
      </rPr>
      <t>($1,141.88)</t>
    </r>
  </si>
  <si>
    <t>Phone</t>
  </si>
  <si>
    <t>Other: Braces</t>
  </si>
  <si>
    <t>RoadRunner</t>
  </si>
  <si>
    <t>Health Insurance *</t>
  </si>
  <si>
    <t>Life Insurance *</t>
  </si>
  <si>
    <t>Disability Insurance *</t>
  </si>
  <si>
    <t>Long Term Care *</t>
  </si>
  <si>
    <t>Medical/Dental/Drugs *</t>
  </si>
  <si>
    <t>Monthly Net Income *:</t>
  </si>
  <si>
    <t xml:space="preserve">   Less Expenses</t>
  </si>
  <si>
    <t>Clothing / Dry Cleaning</t>
  </si>
  <si>
    <t xml:space="preserve">  Northwestern Credit Union</t>
  </si>
  <si>
    <t>Other:  ???</t>
  </si>
  <si>
    <t>New Car Fund</t>
  </si>
  <si>
    <r>
      <t>1/2 2007 Bonus</t>
    </r>
    <r>
      <rPr>
        <sz val="10"/>
        <rFont val="Helv"/>
      </rPr>
      <t xml:space="preserve"> (less 50% Tax)</t>
    </r>
  </si>
  <si>
    <t>Column #1</t>
  </si>
  <si>
    <t>Column #2</t>
  </si>
  <si>
    <t>Column #3</t>
  </si>
  <si>
    <t>Dawn and Steve Jacobson</t>
  </si>
  <si>
    <t>MONTHLY BUDGET</t>
  </si>
  <si>
    <t>Total Surplus/(Deficit)</t>
  </si>
  <si>
    <t>Purchase Price (FMV $159,900 Assessment)</t>
  </si>
  <si>
    <t>Death Benefit, December 31, 2009</t>
  </si>
  <si>
    <t xml:space="preserve">  Excelon (859.878 Shares @ $51.61)</t>
  </si>
  <si>
    <t xml:space="preserve">  Income Fund of America - American Funds (181.508 Shares @ $25.95)</t>
  </si>
  <si>
    <t xml:space="preserve">  Growth Fund of America - American Funds (43.913 Shares @ $27.33)</t>
  </si>
  <si>
    <t>December 31, 2010</t>
  </si>
  <si>
    <t>Matures on 10/22/11</t>
  </si>
  <si>
    <t>December 31,2010</t>
  </si>
</sst>
</file>

<file path=xl/styles.xml><?xml version="1.0" encoding="utf-8"?>
<styleSheet xmlns="http://schemas.openxmlformats.org/spreadsheetml/2006/main">
  <numFmts count="6">
    <numFmt numFmtId="7" formatCode="&quot;$&quot;#,##0.00_);\(&quot;$&quot;#,##0.00\)"/>
    <numFmt numFmtId="43" formatCode="_(* #,##0.00_);_(* \(#,##0.00\);_(* &quot;-&quot;??_);_(@_)"/>
    <numFmt numFmtId="164" formatCode="0.00_)"/>
    <numFmt numFmtId="165" formatCode="mmmm\ d\,\ yyyy"/>
    <numFmt numFmtId="166" formatCode="#,##0.0_);\(#,##0.0\)"/>
    <numFmt numFmtId="167" formatCode="_(* #,##0_);_(* \(#,##0\);_(* &quot;-&quot;??_);_(@_)"/>
  </numFmts>
  <fonts count="16">
    <font>
      <sz val="12"/>
      <name val="Helv"/>
    </font>
    <font>
      <sz val="10"/>
      <name val="Arial"/>
      <family val="2"/>
    </font>
    <font>
      <b/>
      <sz val="14"/>
      <name val="Helv"/>
    </font>
    <font>
      <b/>
      <sz val="14"/>
      <name val="Arial"/>
      <family val="2"/>
    </font>
    <font>
      <sz val="12"/>
      <name val="Arial"/>
      <family val="2"/>
    </font>
    <font>
      <sz val="12"/>
      <color indexed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indexed="10"/>
      <name val="Arial"/>
      <family val="2"/>
    </font>
    <font>
      <sz val="8"/>
      <name val="Helv"/>
    </font>
    <font>
      <b/>
      <sz val="12"/>
      <color indexed="12"/>
      <name val="Arial"/>
      <family val="2"/>
    </font>
    <font>
      <b/>
      <sz val="12"/>
      <name val="Helv"/>
    </font>
    <font>
      <sz val="12"/>
      <color indexed="12"/>
      <name val="Helv"/>
    </font>
    <font>
      <sz val="10"/>
      <name val="Helv"/>
    </font>
    <font>
      <sz val="12"/>
      <color rgb="FFFF0000"/>
      <name val="Arial"/>
      <family val="2"/>
    </font>
    <font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Protection="1"/>
    <xf numFmtId="0" fontId="2" fillId="0" borderId="0" xfId="0" applyFont="1" applyProtection="1"/>
    <xf numFmtId="0" fontId="4" fillId="0" borderId="0" xfId="0" applyFont="1" applyProtection="1"/>
    <xf numFmtId="165" fontId="4" fillId="0" borderId="0" xfId="0" applyNumberFormat="1" applyFont="1" applyAlignment="1" applyProtection="1">
      <alignment horizontal="left"/>
    </xf>
    <xf numFmtId="0" fontId="4" fillId="0" borderId="0" xfId="0" applyFont="1"/>
    <xf numFmtId="0" fontId="6" fillId="0" borderId="0" xfId="0" applyFont="1" applyProtection="1"/>
    <xf numFmtId="165" fontId="6" fillId="0" borderId="0" xfId="0" applyNumberFormat="1" applyFont="1" applyAlignment="1" applyProtection="1">
      <alignment horizontal="left"/>
    </xf>
    <xf numFmtId="39" fontId="5" fillId="0" borderId="0" xfId="0" applyNumberFormat="1" applyFont="1" applyProtection="1">
      <protection locked="0"/>
    </xf>
    <xf numFmtId="0" fontId="4" fillId="0" borderId="0" xfId="0" quotePrefix="1" applyFont="1" applyAlignment="1" applyProtection="1">
      <alignment horizontal="left"/>
    </xf>
    <xf numFmtId="39" fontId="5" fillId="0" borderId="1" xfId="0" applyNumberFormat="1" applyFont="1" applyBorder="1" applyProtection="1">
      <protection locked="0"/>
    </xf>
    <xf numFmtId="7" fontId="4" fillId="0" borderId="0" xfId="0" applyNumberFormat="1" applyFont="1" applyProtection="1"/>
    <xf numFmtId="164" fontId="4" fillId="0" borderId="0" xfId="0" applyNumberFormat="1" applyFont="1" applyProtection="1"/>
    <xf numFmtId="165" fontId="4" fillId="0" borderId="0" xfId="0" quotePrefix="1" applyNumberFormat="1" applyFont="1" applyAlignment="1" applyProtection="1">
      <alignment horizontal="left"/>
    </xf>
    <xf numFmtId="39" fontId="5" fillId="0" borderId="2" xfId="0" applyNumberFormat="1" applyFont="1" applyBorder="1" applyProtection="1">
      <protection locked="0"/>
    </xf>
    <xf numFmtId="0" fontId="6" fillId="0" borderId="0" xfId="0" applyFont="1" applyAlignment="1" applyProtection="1">
      <alignment horizontal="left"/>
    </xf>
    <xf numFmtId="7" fontId="4" fillId="0" borderId="0" xfId="0" applyNumberFormat="1" applyFont="1" applyProtection="1">
      <protection locked="0"/>
    </xf>
    <xf numFmtId="0" fontId="4" fillId="0" borderId="1" xfId="0" applyFont="1" applyBorder="1" applyProtection="1"/>
    <xf numFmtId="39" fontId="4" fillId="0" borderId="0" xfId="0" applyNumberFormat="1" applyFont="1" applyProtection="1"/>
    <xf numFmtId="7" fontId="4" fillId="0" borderId="1" xfId="0" applyNumberFormat="1" applyFont="1" applyBorder="1" applyProtection="1"/>
    <xf numFmtId="7" fontId="4" fillId="0" borderId="3" xfId="0" applyNumberFormat="1" applyFont="1" applyBorder="1" applyProtection="1"/>
    <xf numFmtId="0" fontId="6" fillId="0" borderId="0" xfId="0" quotePrefix="1" applyFont="1" applyAlignment="1" applyProtection="1">
      <alignment horizontal="left"/>
    </xf>
    <xf numFmtId="39" fontId="4" fillId="0" borderId="0" xfId="0" applyNumberFormat="1" applyFont="1"/>
    <xf numFmtId="7" fontId="5" fillId="0" borderId="1" xfId="0" applyNumberFormat="1" applyFont="1" applyBorder="1" applyProtection="1">
      <protection locked="0"/>
    </xf>
    <xf numFmtId="0" fontId="7" fillId="0" borderId="0" xfId="0" applyFont="1" applyProtection="1"/>
    <xf numFmtId="7" fontId="5" fillId="0" borderId="0" xfId="0" applyNumberFormat="1" applyFont="1" applyProtection="1">
      <protection locked="0"/>
    </xf>
    <xf numFmtId="165" fontId="4" fillId="0" borderId="0" xfId="0" applyNumberFormat="1" applyFont="1" applyAlignment="1">
      <alignment horizontal="left"/>
    </xf>
    <xf numFmtId="7" fontId="4" fillId="0" borderId="0" xfId="0" applyNumberFormat="1" applyFont="1"/>
    <xf numFmtId="165" fontId="8" fillId="0" borderId="0" xfId="0" applyNumberFormat="1" applyFont="1" applyAlignment="1">
      <alignment horizontal="left"/>
    </xf>
    <xf numFmtId="166" fontId="4" fillId="0" borderId="0" xfId="0" applyNumberFormat="1" applyFont="1"/>
    <xf numFmtId="43" fontId="4" fillId="0" borderId="0" xfId="1" applyFont="1" applyProtection="1"/>
    <xf numFmtId="39" fontId="8" fillId="0" borderId="0" xfId="0" applyNumberFormat="1" applyFont="1" applyProtection="1">
      <protection locked="0"/>
    </xf>
    <xf numFmtId="7" fontId="4" fillId="0" borderId="0" xfId="0" applyNumberFormat="1" applyFont="1" applyAlignment="1" applyProtection="1">
      <alignment horizontal="left" wrapText="1"/>
    </xf>
    <xf numFmtId="39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/>
    </xf>
    <xf numFmtId="7" fontId="6" fillId="0" borderId="4" xfId="0" applyNumberFormat="1" applyFont="1" applyBorder="1" applyProtection="1"/>
    <xf numFmtId="7" fontId="6" fillId="0" borderId="0" xfId="0" applyNumberFormat="1" applyFont="1" applyBorder="1" applyProtection="1"/>
    <xf numFmtId="43" fontId="5" fillId="0" borderId="0" xfId="1" applyNumberFormat="1" applyFont="1" applyAlignment="1" applyProtection="1"/>
    <xf numFmtId="43" fontId="5" fillId="0" borderId="0" xfId="1" applyFont="1" applyAlignment="1" applyProtection="1"/>
    <xf numFmtId="7" fontId="6" fillId="0" borderId="0" xfId="0" applyNumberFormat="1" applyFont="1" applyProtection="1"/>
    <xf numFmtId="43" fontId="5" fillId="0" borderId="0" xfId="1" applyFont="1" applyProtection="1"/>
    <xf numFmtId="43" fontId="4" fillId="0" borderId="0" xfId="0" applyNumberFormat="1" applyFont="1"/>
    <xf numFmtId="0" fontId="6" fillId="0" borderId="0" xfId="0" applyFont="1"/>
    <xf numFmtId="0" fontId="10" fillId="2" borderId="5" xfId="0" applyFont="1" applyFill="1" applyBorder="1" applyAlignment="1">
      <alignment horizontal="center"/>
    </xf>
    <xf numFmtId="49" fontId="6" fillId="2" borderId="6" xfId="0" applyNumberFormat="1" applyFont="1" applyFill="1" applyBorder="1" applyAlignment="1" applyProtection="1">
      <alignment horizontal="center" vertical="center" wrapText="1"/>
    </xf>
    <xf numFmtId="49" fontId="6" fillId="2" borderId="7" xfId="0" applyNumberFormat="1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37" fontId="6" fillId="2" borderId="6" xfId="0" applyNumberFormat="1" applyFont="1" applyFill="1" applyBorder="1"/>
    <xf numFmtId="37" fontId="6" fillId="2" borderId="7" xfId="0" applyNumberFormat="1" applyFont="1" applyFill="1" applyBorder="1"/>
    <xf numFmtId="37" fontId="6" fillId="2" borderId="7" xfId="1" applyNumberFormat="1" applyFont="1" applyFill="1" applyBorder="1" applyProtection="1"/>
    <xf numFmtId="37" fontId="6" fillId="2" borderId="9" xfId="1" applyNumberFormat="1" applyFont="1" applyFill="1" applyBorder="1" applyProtection="1"/>
    <xf numFmtId="37" fontId="6" fillId="3" borderId="7" xfId="1" applyNumberFormat="1" applyFont="1" applyFill="1" applyBorder="1" applyProtection="1"/>
    <xf numFmtId="37" fontId="4" fillId="0" borderId="0" xfId="0" applyNumberFormat="1" applyFont="1"/>
    <xf numFmtId="37" fontId="5" fillId="0" borderId="10" xfId="1" applyNumberFormat="1" applyFont="1" applyBorder="1" applyProtection="1"/>
    <xf numFmtId="37" fontId="5" fillId="0" borderId="10" xfId="1" applyNumberFormat="1" applyFont="1" applyBorder="1"/>
    <xf numFmtId="37" fontId="5" fillId="0" borderId="11" xfId="1" applyNumberFormat="1" applyFont="1" applyBorder="1"/>
    <xf numFmtId="37" fontId="5" fillId="0" borderId="0" xfId="1" applyNumberFormat="1" applyFont="1" applyBorder="1" applyProtection="1"/>
    <xf numFmtId="37" fontId="5" fillId="0" borderId="0" xfId="1" applyNumberFormat="1" applyFont="1" applyBorder="1"/>
    <xf numFmtId="37" fontId="5" fillId="0" borderId="12" xfId="1" applyNumberFormat="1" applyFont="1" applyBorder="1"/>
    <xf numFmtId="37" fontId="6" fillId="3" borderId="7" xfId="1" applyNumberFormat="1" applyFont="1" applyFill="1" applyBorder="1"/>
    <xf numFmtId="37" fontId="6" fillId="3" borderId="9" xfId="1" applyNumberFormat="1" applyFont="1" applyFill="1" applyBorder="1"/>
    <xf numFmtId="37" fontId="5" fillId="0" borderId="13" xfId="1" applyNumberFormat="1" applyFont="1" applyBorder="1"/>
    <xf numFmtId="37" fontId="5" fillId="0" borderId="14" xfId="1" applyNumberFormat="1" applyFont="1" applyBorder="1" applyProtection="1"/>
    <xf numFmtId="37" fontId="5" fillId="0" borderId="15" xfId="1" applyNumberFormat="1" applyFont="1" applyBorder="1" applyProtection="1"/>
    <xf numFmtId="37" fontId="6" fillId="3" borderId="6" xfId="1" applyNumberFormat="1" applyFont="1" applyFill="1" applyBorder="1" applyProtection="1"/>
    <xf numFmtId="37" fontId="5" fillId="0" borderId="0" xfId="1" applyNumberFormat="1" applyFont="1" applyFill="1" applyBorder="1" applyProtection="1">
      <protection locked="0"/>
    </xf>
    <xf numFmtId="37" fontId="6" fillId="0" borderId="0" xfId="1" applyNumberFormat="1" applyFont="1" applyFill="1" applyBorder="1" applyProtection="1">
      <protection locked="0"/>
    </xf>
    <xf numFmtId="39" fontId="5" fillId="0" borderId="0" xfId="0" applyNumberFormat="1" applyFont="1" applyFill="1" applyBorder="1" applyProtection="1">
      <protection locked="0"/>
    </xf>
    <xf numFmtId="37" fontId="5" fillId="0" borderId="0" xfId="0" applyNumberFormat="1" applyFont="1" applyAlignment="1" applyProtection="1">
      <alignment vertical="center"/>
      <protection locked="0"/>
    </xf>
    <xf numFmtId="37" fontId="4" fillId="0" borderId="0" xfId="1" applyNumberFormat="1" applyFont="1" applyAlignment="1" applyProtection="1">
      <alignment vertical="center"/>
    </xf>
    <xf numFmtId="37" fontId="4" fillId="0" borderId="0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39" fontId="4" fillId="0" borderId="0" xfId="0" applyNumberFormat="1" applyFont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37" fontId="4" fillId="0" borderId="15" xfId="0" applyNumberFormat="1" applyFont="1" applyBorder="1" applyAlignment="1" applyProtection="1">
      <alignment vertical="center"/>
      <protection locked="0"/>
    </xf>
    <xf numFmtId="37" fontId="4" fillId="0" borderId="16" xfId="1" applyNumberFormat="1" applyFont="1" applyBorder="1" applyAlignment="1" applyProtection="1">
      <alignment vertical="center"/>
    </xf>
    <xf numFmtId="37" fontId="6" fillId="3" borderId="8" xfId="1" applyNumberFormat="1" applyFont="1" applyFill="1" applyBorder="1" applyProtection="1"/>
    <xf numFmtId="0" fontId="6" fillId="3" borderId="8" xfId="0" applyFont="1" applyFill="1" applyBorder="1" applyAlignment="1">
      <alignment horizontal="center"/>
    </xf>
    <xf numFmtId="37" fontId="6" fillId="3" borderId="8" xfId="1" applyNumberFormat="1" applyFont="1" applyFill="1" applyBorder="1"/>
    <xf numFmtId="37" fontId="6" fillId="3" borderId="5" xfId="0" applyNumberFormat="1" applyFont="1" applyFill="1" applyBorder="1"/>
    <xf numFmtId="37" fontId="6" fillId="3" borderId="16" xfId="0" applyNumberFormat="1" applyFont="1" applyFill="1" applyBorder="1"/>
    <xf numFmtId="9" fontId="10" fillId="2" borderId="17" xfId="2" applyNumberFormat="1" applyFont="1" applyFill="1" applyBorder="1" applyAlignment="1">
      <alignment horizontal="center"/>
    </xf>
    <xf numFmtId="39" fontId="5" fillId="0" borderId="2" xfId="0" applyNumberFormat="1" applyFont="1" applyFill="1" applyBorder="1" applyProtection="1">
      <protection locked="0"/>
    </xf>
    <xf numFmtId="43" fontId="5" fillId="0" borderId="0" xfId="1" applyFont="1"/>
    <xf numFmtId="0" fontId="4" fillId="2" borderId="18" xfId="0" applyFont="1" applyFill="1" applyBorder="1" applyAlignment="1">
      <alignment horizontal="center"/>
    </xf>
    <xf numFmtId="43" fontId="5" fillId="0" borderId="19" xfId="1" applyFont="1" applyFill="1" applyBorder="1"/>
    <xf numFmtId="43" fontId="4" fillId="0" borderId="19" xfId="0" applyNumberFormat="1" applyFont="1" applyFill="1" applyBorder="1"/>
    <xf numFmtId="0" fontId="11" fillId="0" borderId="0" xfId="0" applyFont="1"/>
    <xf numFmtId="17" fontId="0" fillId="0" borderId="0" xfId="0" quotePrefix="1" applyNumberFormat="1"/>
    <xf numFmtId="167" fontId="12" fillId="0" borderId="0" xfId="1" applyNumberFormat="1" applyFont="1"/>
    <xf numFmtId="167" fontId="0" fillId="0" borderId="0" xfId="1" applyNumberFormat="1" applyFont="1"/>
    <xf numFmtId="167" fontId="0" fillId="0" borderId="2" xfId="1" applyNumberFormat="1" applyFont="1" applyBorder="1"/>
    <xf numFmtId="167" fontId="0" fillId="0" borderId="4" xfId="1" applyNumberFormat="1" applyFont="1" applyBorder="1"/>
    <xf numFmtId="0" fontId="0" fillId="0" borderId="20" xfId="0" applyFill="1" applyBorder="1"/>
    <xf numFmtId="0" fontId="0" fillId="0" borderId="21" xfId="0" applyFill="1" applyBorder="1"/>
    <xf numFmtId="167" fontId="12" fillId="0" borderId="22" xfId="1" applyNumberFormat="1" applyFont="1" applyFill="1" applyBorder="1"/>
    <xf numFmtId="0" fontId="0" fillId="0" borderId="23" xfId="0" applyFill="1" applyBorder="1"/>
    <xf numFmtId="0" fontId="0" fillId="0" borderId="0" xfId="0" applyFill="1" applyBorder="1"/>
    <xf numFmtId="167" fontId="12" fillId="0" borderId="24" xfId="1" applyNumberFormat="1" applyFont="1" applyFill="1" applyBorder="1"/>
    <xf numFmtId="167" fontId="0" fillId="0" borderId="24" xfId="0" applyNumberFormat="1" applyFill="1" applyBorder="1"/>
    <xf numFmtId="0" fontId="0" fillId="2" borderId="25" xfId="0" applyFill="1" applyBorder="1"/>
    <xf numFmtId="0" fontId="0" fillId="2" borderId="26" xfId="0" applyFill="1" applyBorder="1"/>
    <xf numFmtId="167" fontId="0" fillId="2" borderId="27" xfId="0" applyNumberFormat="1" applyFill="1" applyBorder="1"/>
    <xf numFmtId="165" fontId="14" fillId="0" borderId="0" xfId="0" quotePrefix="1" applyNumberFormat="1" applyFont="1" applyAlignment="1" applyProtection="1">
      <alignment horizontal="left"/>
    </xf>
    <xf numFmtId="165" fontId="14" fillId="0" borderId="0" xfId="0" applyNumberFormat="1" applyFont="1" applyAlignment="1" applyProtection="1">
      <alignment horizontal="left"/>
    </xf>
    <xf numFmtId="165" fontId="14" fillId="0" borderId="0" xfId="0" applyNumberFormat="1" applyFont="1" applyAlignment="1">
      <alignment horizontal="left"/>
    </xf>
    <xf numFmtId="2" fontId="14" fillId="0" borderId="0" xfId="0" quotePrefix="1" applyNumberFormat="1" applyFont="1" applyAlignment="1">
      <alignment horizontal="left"/>
    </xf>
    <xf numFmtId="43" fontId="14" fillId="0" borderId="0" xfId="1" applyNumberFormat="1" applyFont="1" applyAlignment="1" applyProtection="1"/>
    <xf numFmtId="165" fontId="15" fillId="0" borderId="0" xfId="0" applyNumberFormat="1" applyFont="1" applyAlignment="1" applyProtection="1">
      <alignment horizontal="left"/>
    </xf>
    <xf numFmtId="165" fontId="15" fillId="0" borderId="0" xfId="0" quotePrefix="1" applyNumberFormat="1" applyFont="1" applyAlignment="1" applyProtection="1">
      <alignment horizontal="left"/>
    </xf>
    <xf numFmtId="39" fontId="15" fillId="0" borderId="0" xfId="0" applyNumberFormat="1" applyFont="1" applyProtection="1">
      <protection locked="0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7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quotePrefix="1" applyFont="1" applyAlignment="1" applyProtection="1">
      <alignment horizontal="center"/>
      <protection locked="0"/>
    </xf>
    <xf numFmtId="39" fontId="4" fillId="0" borderId="0" xfId="0" applyNumberFormat="1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0"/>
  <sheetViews>
    <sheetView showGridLines="0" topLeftCell="A3" workbookViewId="0">
      <selection activeCell="H30" sqref="H30"/>
    </sheetView>
  </sheetViews>
  <sheetFormatPr defaultRowHeight="15.75"/>
  <cols>
    <col min="1" max="1" width="3.21875" customWidth="1"/>
    <col min="2" max="2" width="4.88671875" customWidth="1"/>
    <col min="3" max="3" width="7.44140625" customWidth="1"/>
    <col min="4" max="4" width="12.77734375" customWidth="1"/>
    <col min="5" max="5" width="8.77734375" customWidth="1"/>
    <col min="6" max="6" width="3.109375" customWidth="1"/>
    <col min="7" max="7" width="5.109375" customWidth="1"/>
    <col min="9" max="9" width="11.21875" customWidth="1"/>
    <col min="11" max="11" width="3.44140625" customWidth="1"/>
    <col min="12" max="12" width="5.33203125" customWidth="1"/>
    <col min="14" max="14" width="11.77734375" customWidth="1"/>
  </cols>
  <sheetData>
    <row r="1" spans="2:15">
      <c r="B1" s="123" t="s">
        <v>190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2:15" ht="19.5">
      <c r="B2" s="125" t="s">
        <v>189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</row>
    <row r="3" spans="2:15">
      <c r="B3" s="124" t="s">
        <v>156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</row>
    <row r="4" spans="2:15">
      <c r="E4" s="97"/>
    </row>
    <row r="5" spans="2:15">
      <c r="E5" s="97"/>
    </row>
    <row r="6" spans="2:15">
      <c r="B6" s="120" t="s">
        <v>186</v>
      </c>
      <c r="C6" s="121"/>
      <c r="D6" s="121"/>
      <c r="E6" s="122"/>
      <c r="G6" s="120" t="s">
        <v>187</v>
      </c>
      <c r="H6" s="121"/>
      <c r="I6" s="121"/>
      <c r="J6" s="122"/>
      <c r="L6" s="120" t="s">
        <v>188</v>
      </c>
      <c r="M6" s="121"/>
      <c r="N6" s="121"/>
      <c r="O6" s="122"/>
    </row>
    <row r="7" spans="2:15">
      <c r="B7" s="96" t="s">
        <v>140</v>
      </c>
      <c r="G7" s="96" t="s">
        <v>155</v>
      </c>
      <c r="L7" s="96" t="s">
        <v>158</v>
      </c>
      <c r="O7" s="99"/>
    </row>
    <row r="8" spans="2:15">
      <c r="C8" t="s">
        <v>170</v>
      </c>
      <c r="E8" s="98">
        <f>1500</f>
        <v>1500</v>
      </c>
      <c r="H8" t="s">
        <v>147</v>
      </c>
      <c r="J8" s="98">
        <v>400</v>
      </c>
      <c r="M8" t="s">
        <v>159</v>
      </c>
      <c r="O8" s="98">
        <v>0</v>
      </c>
    </row>
    <row r="9" spans="2:15">
      <c r="C9" t="s">
        <v>132</v>
      </c>
      <c r="E9" s="98">
        <f>ROUND((7700/12),-2)</f>
        <v>600</v>
      </c>
      <c r="H9" t="s">
        <v>148</v>
      </c>
      <c r="J9" s="98">
        <v>50</v>
      </c>
      <c r="M9" t="s">
        <v>160</v>
      </c>
      <c r="O9" s="98">
        <v>0</v>
      </c>
    </row>
    <row r="10" spans="2:15">
      <c r="C10" t="s">
        <v>133</v>
      </c>
      <c r="E10" s="98">
        <f>ROUND((15000/12),-2)</f>
        <v>1300</v>
      </c>
      <c r="H10" t="s">
        <v>181</v>
      </c>
      <c r="J10" s="98">
        <v>25</v>
      </c>
      <c r="M10" t="s">
        <v>161</v>
      </c>
      <c r="O10" s="98">
        <v>500</v>
      </c>
    </row>
    <row r="11" spans="2:15">
      <c r="C11" t="s">
        <v>134</v>
      </c>
      <c r="E11" s="98">
        <f>ROUND((112/12)+(30/12),0)</f>
        <v>12</v>
      </c>
      <c r="H11" t="s">
        <v>149</v>
      </c>
      <c r="J11" s="98">
        <v>85</v>
      </c>
      <c r="M11" t="s">
        <v>184</v>
      </c>
      <c r="O11" s="98">
        <v>500</v>
      </c>
    </row>
    <row r="12" spans="2:15">
      <c r="C12" t="s">
        <v>136</v>
      </c>
      <c r="D12" t="s">
        <v>137</v>
      </c>
      <c r="E12" s="98">
        <v>350</v>
      </c>
      <c r="H12" t="s">
        <v>150</v>
      </c>
      <c r="J12" s="98">
        <v>0</v>
      </c>
      <c r="O12" s="99"/>
    </row>
    <row r="13" spans="2:15">
      <c r="C13" t="s">
        <v>135</v>
      </c>
      <c r="D13" t="s">
        <v>138</v>
      </c>
      <c r="E13" s="98">
        <v>60</v>
      </c>
      <c r="H13" t="s">
        <v>151</v>
      </c>
      <c r="J13" s="98">
        <f>ROUND(135*4,-2)</f>
        <v>500</v>
      </c>
      <c r="L13" s="96" t="s">
        <v>162</v>
      </c>
      <c r="O13" s="99"/>
    </row>
    <row r="14" spans="2:15">
      <c r="D14" t="s">
        <v>173</v>
      </c>
      <c r="E14" s="98">
        <v>42</v>
      </c>
      <c r="H14" t="s">
        <v>152</v>
      </c>
      <c r="J14" s="98">
        <v>0</v>
      </c>
      <c r="M14" t="s">
        <v>163</v>
      </c>
      <c r="O14" s="98">
        <v>100</v>
      </c>
    </row>
    <row r="15" spans="2:15">
      <c r="D15" t="s">
        <v>171</v>
      </c>
      <c r="E15" s="98">
        <v>120</v>
      </c>
      <c r="H15" t="s">
        <v>153</v>
      </c>
      <c r="J15" s="98">
        <v>0</v>
      </c>
      <c r="M15" t="s">
        <v>164</v>
      </c>
      <c r="O15" s="98">
        <v>200</v>
      </c>
    </row>
    <row r="16" spans="2:15">
      <c r="E16" s="99"/>
      <c r="J16" s="99"/>
      <c r="M16" t="s">
        <v>165</v>
      </c>
      <c r="O16" s="98">
        <v>50</v>
      </c>
    </row>
    <row r="17" spans="2:15">
      <c r="B17" s="96" t="s">
        <v>139</v>
      </c>
      <c r="E17" s="99"/>
      <c r="G17" s="96" t="s">
        <v>154</v>
      </c>
      <c r="J17" s="99"/>
      <c r="M17" t="s">
        <v>166</v>
      </c>
      <c r="O17" s="98">
        <v>250</v>
      </c>
    </row>
    <row r="18" spans="2:15">
      <c r="C18" t="s">
        <v>141</v>
      </c>
      <c r="E18" s="98">
        <v>0</v>
      </c>
      <c r="H18" t="s">
        <v>174</v>
      </c>
      <c r="J18" s="98">
        <v>0</v>
      </c>
      <c r="M18" t="s">
        <v>167</v>
      </c>
      <c r="O18" s="98">
        <v>500</v>
      </c>
    </row>
    <row r="19" spans="2:15">
      <c r="C19" t="s">
        <v>142</v>
      </c>
      <c r="E19" s="98">
        <f>ROUND((327.7/6)+(270.49/6),-2)</f>
        <v>100</v>
      </c>
      <c r="H19" t="s">
        <v>175</v>
      </c>
      <c r="J19" s="98">
        <f>(65/4)+(26.18/4)+(90.5/12)+(3000/12)</f>
        <v>280.33666666666664</v>
      </c>
      <c r="M19" t="s">
        <v>168</v>
      </c>
      <c r="O19" s="98">
        <f>3000/12</f>
        <v>250</v>
      </c>
    </row>
    <row r="20" spans="2:15">
      <c r="C20" t="s">
        <v>143</v>
      </c>
      <c r="E20" s="98">
        <f>50+25</f>
        <v>75</v>
      </c>
      <c r="H20" t="s">
        <v>176</v>
      </c>
      <c r="J20" s="98">
        <v>0</v>
      </c>
      <c r="M20" t="s">
        <v>172</v>
      </c>
      <c r="O20" s="98">
        <v>200</v>
      </c>
    </row>
    <row r="21" spans="2:15">
      <c r="C21" t="s">
        <v>144</v>
      </c>
      <c r="E21" s="98">
        <f>75*4</f>
        <v>300</v>
      </c>
      <c r="H21" t="s">
        <v>177</v>
      </c>
      <c r="J21" s="98">
        <v>0</v>
      </c>
      <c r="M21" t="s">
        <v>183</v>
      </c>
      <c r="O21" s="98">
        <v>200</v>
      </c>
    </row>
    <row r="22" spans="2:15">
      <c r="C22" t="s">
        <v>145</v>
      </c>
      <c r="E22" s="98">
        <v>70</v>
      </c>
      <c r="H22" t="s">
        <v>178</v>
      </c>
      <c r="J22" s="98">
        <v>100</v>
      </c>
    </row>
    <row r="23" spans="2:15">
      <c r="E23" s="100"/>
      <c r="J23" s="98"/>
      <c r="O23" s="99"/>
    </row>
    <row r="24" spans="2:15" ht="16.5" thickBot="1">
      <c r="B24" s="96" t="s">
        <v>146</v>
      </c>
      <c r="E24" s="101">
        <f>SUM(E8:E23)</f>
        <v>4529</v>
      </c>
      <c r="G24" s="96" t="s">
        <v>157</v>
      </c>
      <c r="J24" s="101">
        <f>SUM(J8:J23)</f>
        <v>1440.3366666666666</v>
      </c>
      <c r="L24" s="96" t="s">
        <v>169</v>
      </c>
      <c r="O24" s="101">
        <f>SUM(O8:O23)</f>
        <v>2750</v>
      </c>
    </row>
    <row r="25" spans="2:15" ht="16.5" thickTop="1">
      <c r="E25" s="99"/>
      <c r="J25" s="99"/>
      <c r="O25" s="99"/>
    </row>
    <row r="26" spans="2:15" ht="16.5" thickBot="1">
      <c r="O26" s="99"/>
    </row>
    <row r="27" spans="2:15">
      <c r="B27" s="102" t="s">
        <v>179</v>
      </c>
      <c r="C27" s="103"/>
      <c r="D27" s="103"/>
      <c r="E27" s="104">
        <f>ROUND((3594.74*26/12)+(1252.77*26/12),-2)</f>
        <v>10500</v>
      </c>
    </row>
    <row r="28" spans="2:15">
      <c r="B28" s="105" t="s">
        <v>185</v>
      </c>
      <c r="C28" s="106"/>
      <c r="D28" s="106"/>
      <c r="E28" s="107">
        <f>ROUND((60000/2*0.5)/12,-2)</f>
        <v>1300</v>
      </c>
    </row>
    <row r="29" spans="2:15" ht="16.5" thickBot="1">
      <c r="B29" s="105" t="s">
        <v>180</v>
      </c>
      <c r="C29" s="106"/>
      <c r="D29" s="106"/>
      <c r="E29" s="108">
        <f>+E24+J24+O24</f>
        <v>8719.3366666666661</v>
      </c>
    </row>
    <row r="30" spans="2:15" ht="16.5" thickBot="1">
      <c r="B30" s="109" t="s">
        <v>191</v>
      </c>
      <c r="C30" s="110"/>
      <c r="D30" s="110"/>
      <c r="E30" s="111">
        <f>+E27+E28-E29</f>
        <v>3080.6633333333339</v>
      </c>
    </row>
  </sheetData>
  <mergeCells count="6">
    <mergeCell ref="B6:E6"/>
    <mergeCell ref="G6:J6"/>
    <mergeCell ref="L6:O6"/>
    <mergeCell ref="B1:O1"/>
    <mergeCell ref="B3:O3"/>
    <mergeCell ref="B2:O2"/>
  </mergeCells>
  <phoneticPr fontId="9" type="noConversion"/>
  <pageMargins left="0.25" right="0.2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/>
  <dimension ref="A1:W90"/>
  <sheetViews>
    <sheetView showGridLines="0" tabSelected="1" topLeftCell="A51" workbookViewId="0">
      <selection activeCell="G64" sqref="G64"/>
    </sheetView>
  </sheetViews>
  <sheetFormatPr defaultColWidth="9.77734375" defaultRowHeight="15"/>
  <cols>
    <col min="1" max="4" width="9.77734375" style="5"/>
    <col min="5" max="5" width="13.44140625" style="5" customWidth="1"/>
    <col min="6" max="6" width="11.44140625" style="5" bestFit="1" customWidth="1"/>
    <col min="7" max="7" width="13.33203125" style="5" customWidth="1"/>
    <col min="8" max="8" width="19.109375" style="26" customWidth="1"/>
    <col min="9" max="9" width="12.77734375" style="5" bestFit="1" customWidth="1"/>
    <col min="10" max="10" width="11.33203125" style="5" customWidth="1"/>
    <col min="11" max="16384" width="9.77734375" style="5"/>
  </cols>
  <sheetData>
    <row r="1" spans="1:8" ht="18" customHeight="1">
      <c r="A1" s="126" t="s">
        <v>52</v>
      </c>
      <c r="B1" s="126"/>
      <c r="C1" s="126"/>
      <c r="D1" s="126"/>
      <c r="E1" s="126"/>
      <c r="F1" s="126"/>
      <c r="G1" s="126"/>
      <c r="H1" s="126"/>
    </row>
    <row r="2" spans="1:8" ht="15" customHeight="1">
      <c r="A2" s="127" t="s">
        <v>51</v>
      </c>
      <c r="B2" s="127"/>
      <c r="C2" s="127"/>
      <c r="D2" s="127"/>
      <c r="E2" s="127"/>
      <c r="F2" s="127"/>
      <c r="G2" s="127"/>
      <c r="H2" s="127"/>
    </row>
    <row r="3" spans="1:8" ht="15.75" customHeight="1">
      <c r="A3" s="128" t="s">
        <v>197</v>
      </c>
      <c r="B3" s="128"/>
      <c r="C3" s="128"/>
      <c r="D3" s="128"/>
      <c r="E3" s="128"/>
      <c r="F3" s="128"/>
      <c r="G3" s="128"/>
      <c r="H3" s="128"/>
    </row>
    <row r="4" spans="1:8" ht="9" customHeight="1"/>
    <row r="5" spans="1:8" ht="15.75">
      <c r="A5" s="6" t="s">
        <v>0</v>
      </c>
      <c r="B5" s="3"/>
      <c r="C5" s="3"/>
      <c r="D5" s="3"/>
      <c r="E5" s="3"/>
      <c r="F5" s="3"/>
      <c r="G5" s="3"/>
      <c r="H5" s="4"/>
    </row>
    <row r="6" spans="1:8" ht="15.75">
      <c r="A6" s="6" t="s">
        <v>1</v>
      </c>
      <c r="B6" s="3"/>
      <c r="C6" s="3"/>
      <c r="D6" s="3"/>
      <c r="E6" s="3"/>
      <c r="F6" s="3"/>
      <c r="G6" s="3"/>
      <c r="H6" s="7"/>
    </row>
    <row r="7" spans="1:8">
      <c r="A7" s="3" t="s">
        <v>56</v>
      </c>
      <c r="B7" s="3"/>
      <c r="C7" s="3"/>
      <c r="D7" s="3"/>
      <c r="E7" s="3"/>
      <c r="F7" s="3"/>
      <c r="G7" s="8">
        <v>44681.88</v>
      </c>
      <c r="H7" s="118">
        <v>40543</v>
      </c>
    </row>
    <row r="8" spans="1:8">
      <c r="A8" s="3" t="s">
        <v>57</v>
      </c>
      <c r="B8" s="3"/>
      <c r="C8" s="3"/>
      <c r="D8" s="3"/>
      <c r="E8" s="3"/>
      <c r="F8" s="3"/>
      <c r="G8" s="8">
        <v>12544.73</v>
      </c>
      <c r="H8" s="118">
        <v>40543</v>
      </c>
    </row>
    <row r="9" spans="1:8">
      <c r="A9" s="3" t="s">
        <v>66</v>
      </c>
      <c r="B9" s="3"/>
      <c r="C9" s="3"/>
      <c r="D9" s="3"/>
      <c r="E9" s="3"/>
      <c r="F9" s="3"/>
      <c r="G9" s="8">
        <v>59901.22</v>
      </c>
      <c r="H9" s="118">
        <v>40543</v>
      </c>
    </row>
    <row r="10" spans="1:8">
      <c r="A10" s="3" t="s">
        <v>72</v>
      </c>
      <c r="B10" s="3"/>
      <c r="C10" s="3"/>
      <c r="D10" s="3"/>
      <c r="E10" s="3"/>
      <c r="F10" s="3"/>
      <c r="G10" s="8">
        <v>47817.87</v>
      </c>
      <c r="H10" s="118">
        <v>40543</v>
      </c>
    </row>
    <row r="11" spans="1:8">
      <c r="A11" s="9" t="s">
        <v>53</v>
      </c>
      <c r="B11" s="3"/>
      <c r="C11" s="3"/>
      <c r="D11" s="3"/>
      <c r="E11" s="3"/>
      <c r="F11" s="3"/>
      <c r="G11" s="8">
        <v>252.84</v>
      </c>
      <c r="H11" s="118">
        <v>40543</v>
      </c>
    </row>
    <row r="12" spans="1:8">
      <c r="A12" s="34" t="s">
        <v>182</v>
      </c>
      <c r="B12" s="3"/>
      <c r="C12" s="3"/>
      <c r="D12" s="3"/>
      <c r="E12" s="3"/>
      <c r="F12" s="3"/>
      <c r="G12" s="31">
        <v>507.96</v>
      </c>
      <c r="H12" s="112">
        <v>39538</v>
      </c>
    </row>
    <row r="13" spans="1:8">
      <c r="A13" s="9" t="s">
        <v>73</v>
      </c>
      <c r="B13" s="3"/>
      <c r="C13" s="3"/>
      <c r="D13" s="3"/>
      <c r="E13" s="3"/>
      <c r="F13" s="3"/>
      <c r="G13" s="10">
        <v>16173.85</v>
      </c>
      <c r="H13" s="118">
        <v>40543</v>
      </c>
    </row>
    <row r="14" spans="1:8" ht="15.75">
      <c r="A14" s="6" t="s">
        <v>2</v>
      </c>
      <c r="B14" s="3"/>
      <c r="C14" s="3"/>
      <c r="D14" s="3"/>
      <c r="E14" s="3"/>
      <c r="F14" s="3"/>
      <c r="G14" s="11">
        <f>SUM(G7:G13)</f>
        <v>181880.35</v>
      </c>
      <c r="H14" s="113"/>
    </row>
    <row r="15" spans="1:8">
      <c r="A15" s="3"/>
      <c r="B15" s="3"/>
      <c r="C15" s="3"/>
      <c r="D15" s="3"/>
      <c r="E15" s="3"/>
      <c r="F15" s="3"/>
      <c r="G15" s="3"/>
      <c r="H15" s="113"/>
    </row>
    <row r="16" spans="1:8" ht="15.75">
      <c r="A16" s="6" t="s">
        <v>3</v>
      </c>
      <c r="B16" s="3"/>
      <c r="C16" s="3"/>
      <c r="D16" s="3"/>
      <c r="E16" s="3"/>
      <c r="F16" s="3"/>
      <c r="G16" s="11"/>
      <c r="H16" s="113"/>
    </row>
    <row r="17" spans="1:9" ht="15.75">
      <c r="A17" s="6" t="s">
        <v>4</v>
      </c>
      <c r="B17" s="3"/>
      <c r="C17" s="3"/>
      <c r="D17" s="3"/>
      <c r="E17" s="3"/>
      <c r="F17" s="3"/>
      <c r="G17" s="3"/>
      <c r="H17" s="113"/>
    </row>
    <row r="18" spans="1:9">
      <c r="A18" s="3" t="s">
        <v>5</v>
      </c>
      <c r="B18" s="3"/>
      <c r="C18" s="3"/>
      <c r="D18" s="3"/>
      <c r="E18" s="3"/>
      <c r="F18" s="3"/>
      <c r="G18" s="8">
        <v>25771.85</v>
      </c>
      <c r="H18" s="117">
        <v>40543</v>
      </c>
      <c r="I18" s="12"/>
    </row>
    <row r="19" spans="1:9">
      <c r="A19" s="3" t="s">
        <v>65</v>
      </c>
      <c r="B19" s="3"/>
      <c r="C19" s="3"/>
      <c r="D19" s="3"/>
      <c r="E19" s="3"/>
      <c r="F19" s="3"/>
      <c r="G19" s="8">
        <v>6930.75</v>
      </c>
      <c r="H19" s="117">
        <v>40543</v>
      </c>
      <c r="I19" s="3"/>
    </row>
    <row r="20" spans="1:9">
      <c r="A20" s="3" t="s">
        <v>6</v>
      </c>
      <c r="B20" s="3"/>
      <c r="C20" s="3"/>
      <c r="D20" s="3"/>
      <c r="E20" s="3"/>
      <c r="F20" s="3"/>
      <c r="G20" s="8">
        <v>41058.33</v>
      </c>
      <c r="H20" s="118">
        <v>40543</v>
      </c>
      <c r="I20" s="3"/>
    </row>
    <row r="21" spans="1:9">
      <c r="A21" s="3" t="s">
        <v>7</v>
      </c>
      <c r="B21" s="3"/>
      <c r="C21" s="3"/>
      <c r="D21" s="3"/>
      <c r="E21" s="3"/>
      <c r="F21" s="18"/>
      <c r="G21" s="91">
        <f>92086.72-0.1</f>
        <v>92086.62</v>
      </c>
      <c r="H21" s="118">
        <v>40543</v>
      </c>
      <c r="I21" s="3"/>
    </row>
    <row r="22" spans="1:9" ht="15.75">
      <c r="A22" s="6" t="s">
        <v>8</v>
      </c>
      <c r="B22" s="3"/>
      <c r="C22" s="3"/>
      <c r="D22" s="3"/>
      <c r="E22" s="3"/>
      <c r="F22" s="18"/>
      <c r="G22" s="11">
        <f>SUM(G18:G21)</f>
        <v>165847.54999999999</v>
      </c>
      <c r="H22" s="113"/>
      <c r="I22" s="3"/>
    </row>
    <row r="23" spans="1:9">
      <c r="G23" s="29"/>
      <c r="H23" s="114"/>
    </row>
    <row r="24" spans="1:9" ht="15.75">
      <c r="A24" s="6" t="s">
        <v>9</v>
      </c>
      <c r="B24" s="3"/>
      <c r="C24" s="3"/>
      <c r="D24" s="3"/>
      <c r="E24" s="3"/>
      <c r="F24" s="3"/>
      <c r="G24" s="3"/>
      <c r="H24" s="113"/>
      <c r="I24" s="3"/>
    </row>
    <row r="25" spans="1:9">
      <c r="A25" s="3" t="s">
        <v>10</v>
      </c>
      <c r="B25" s="3"/>
      <c r="C25" s="3"/>
      <c r="D25" s="3"/>
      <c r="E25" s="3"/>
      <c r="F25" s="3"/>
      <c r="G25" s="8">
        <v>156000</v>
      </c>
      <c r="H25" s="117" t="s">
        <v>126</v>
      </c>
      <c r="I25" s="3"/>
    </row>
    <row r="26" spans="1:9">
      <c r="A26" s="3" t="s">
        <v>54</v>
      </c>
      <c r="B26" s="3"/>
      <c r="C26" s="3"/>
      <c r="D26" s="3"/>
      <c r="E26" s="3"/>
      <c r="F26" s="3"/>
      <c r="G26" s="8">
        <v>165000</v>
      </c>
      <c r="H26" s="117" t="s">
        <v>192</v>
      </c>
      <c r="I26" s="3"/>
    </row>
    <row r="27" spans="1:9">
      <c r="A27" s="3" t="s">
        <v>12</v>
      </c>
      <c r="B27" s="3"/>
      <c r="C27" s="3"/>
      <c r="D27" s="3"/>
      <c r="E27" s="3"/>
      <c r="F27" s="3"/>
      <c r="G27" s="31">
        <v>6803.16</v>
      </c>
      <c r="H27" s="113" t="s">
        <v>13</v>
      </c>
      <c r="I27" s="3"/>
    </row>
    <row r="28" spans="1:9">
      <c r="A28" s="3" t="s">
        <v>50</v>
      </c>
      <c r="B28" s="3"/>
      <c r="C28" s="3"/>
      <c r="D28" s="3"/>
      <c r="E28" s="3"/>
      <c r="F28" s="3"/>
      <c r="G28" s="8">
        <v>1079.94</v>
      </c>
      <c r="H28" s="118">
        <v>40543</v>
      </c>
      <c r="I28" s="3"/>
    </row>
    <row r="29" spans="1:9">
      <c r="A29" s="3" t="s">
        <v>14</v>
      </c>
      <c r="B29" s="3"/>
      <c r="C29" s="3"/>
      <c r="D29" s="3"/>
      <c r="E29" s="11"/>
      <c r="F29" s="3"/>
      <c r="G29" s="33">
        <v>150000</v>
      </c>
      <c r="H29" s="117" t="s">
        <v>11</v>
      </c>
      <c r="I29" s="3"/>
    </row>
    <row r="30" spans="1:9">
      <c r="A30" s="3" t="s">
        <v>15</v>
      </c>
      <c r="B30" s="3"/>
      <c r="C30" s="3"/>
      <c r="D30" s="3"/>
      <c r="E30" s="3"/>
      <c r="F30" s="3"/>
      <c r="G30" s="33">
        <v>150000</v>
      </c>
      <c r="H30" s="117" t="s">
        <v>70</v>
      </c>
      <c r="I30" s="3"/>
    </row>
    <row r="31" spans="1:9">
      <c r="A31" s="3" t="s">
        <v>16</v>
      </c>
      <c r="B31" s="3"/>
      <c r="C31" s="3"/>
      <c r="D31" s="3"/>
      <c r="E31" s="3"/>
      <c r="F31" s="3"/>
      <c r="G31" s="33">
        <v>100000</v>
      </c>
      <c r="H31" s="117" t="s">
        <v>11</v>
      </c>
      <c r="I31" s="3"/>
    </row>
    <row r="32" spans="1:9">
      <c r="A32" s="3" t="s">
        <v>47</v>
      </c>
      <c r="B32" s="3"/>
      <c r="C32" s="3"/>
      <c r="D32" s="3"/>
      <c r="E32" s="3"/>
      <c r="F32" s="3"/>
      <c r="G32" s="33">
        <f>122000*5</f>
        <v>610000</v>
      </c>
      <c r="H32" s="117" t="s">
        <v>11</v>
      </c>
      <c r="I32" s="3"/>
    </row>
    <row r="33" spans="1:9">
      <c r="A33" s="3" t="s">
        <v>48</v>
      </c>
      <c r="B33" s="3"/>
      <c r="C33" s="3"/>
      <c r="D33" s="3"/>
      <c r="E33" s="3"/>
      <c r="F33" s="3"/>
      <c r="G33" s="33">
        <v>50000</v>
      </c>
      <c r="H33" s="117" t="s">
        <v>11</v>
      </c>
      <c r="I33" s="3"/>
    </row>
    <row r="34" spans="1:9">
      <c r="A34" s="3" t="s">
        <v>18</v>
      </c>
      <c r="B34" s="3"/>
      <c r="C34" s="3"/>
      <c r="D34" s="3"/>
      <c r="E34" s="3"/>
      <c r="F34" s="3"/>
      <c r="G34" s="33">
        <v>40000</v>
      </c>
      <c r="H34" s="117" t="s">
        <v>11</v>
      </c>
      <c r="I34" s="3"/>
    </row>
    <row r="35" spans="1:9">
      <c r="A35" s="3" t="s">
        <v>19</v>
      </c>
      <c r="B35" s="3"/>
      <c r="C35" s="3"/>
      <c r="D35" s="3"/>
      <c r="E35" s="3"/>
      <c r="F35" s="3"/>
      <c r="G35" s="33">
        <v>25000</v>
      </c>
      <c r="H35" s="117" t="s">
        <v>11</v>
      </c>
      <c r="I35" s="3"/>
    </row>
    <row r="36" spans="1:9">
      <c r="A36" s="3" t="s">
        <v>129</v>
      </c>
      <c r="B36" s="3"/>
      <c r="C36" s="3"/>
      <c r="D36" s="3"/>
      <c r="E36" s="3"/>
      <c r="F36" s="3"/>
      <c r="G36" s="31">
        <v>924.32</v>
      </c>
      <c r="H36" s="113" t="s">
        <v>130</v>
      </c>
      <c r="I36" s="3"/>
    </row>
    <row r="37" spans="1:9">
      <c r="A37" s="3" t="s">
        <v>129</v>
      </c>
      <c r="B37" s="3"/>
      <c r="C37" s="3"/>
      <c r="D37" s="3"/>
      <c r="E37" s="3"/>
      <c r="F37" s="3"/>
      <c r="G37" s="31">
        <v>5123.2700000000004</v>
      </c>
      <c r="H37" s="113" t="s">
        <v>131</v>
      </c>
      <c r="I37" s="3"/>
    </row>
    <row r="38" spans="1:9">
      <c r="A38" s="3" t="s">
        <v>20</v>
      </c>
      <c r="B38" s="3"/>
      <c r="C38" s="3"/>
      <c r="D38" s="3"/>
      <c r="E38" s="3"/>
      <c r="F38" s="3"/>
      <c r="G38" s="8">
        <v>271.83999999999997</v>
      </c>
      <c r="H38" s="118">
        <v>40543</v>
      </c>
      <c r="I38" s="12"/>
    </row>
    <row r="39" spans="1:9">
      <c r="A39" s="3" t="s">
        <v>21</v>
      </c>
      <c r="B39" s="3"/>
      <c r="C39" s="3"/>
      <c r="D39" s="3"/>
      <c r="E39" s="3"/>
      <c r="F39" s="3"/>
      <c r="G39" s="31">
        <v>100756.38</v>
      </c>
      <c r="H39" s="112">
        <v>39813</v>
      </c>
      <c r="I39" s="3"/>
    </row>
    <row r="40" spans="1:9">
      <c r="A40" s="3" t="s">
        <v>69</v>
      </c>
      <c r="B40" s="3"/>
      <c r="C40" s="3"/>
      <c r="D40" s="3"/>
      <c r="E40" s="3"/>
      <c r="F40" s="3"/>
      <c r="G40" s="119">
        <v>469547.39</v>
      </c>
      <c r="H40" s="117">
        <v>40543</v>
      </c>
      <c r="I40" s="12"/>
    </row>
    <row r="41" spans="1:9">
      <c r="A41" s="9" t="s">
        <v>43</v>
      </c>
      <c r="B41" s="3"/>
      <c r="C41" s="3"/>
      <c r="D41" s="3"/>
      <c r="E41" s="3"/>
      <c r="F41" s="3"/>
      <c r="G41" s="119">
        <v>121518.96</v>
      </c>
      <c r="H41" s="117">
        <v>40544</v>
      </c>
      <c r="I41" s="12"/>
    </row>
    <row r="42" spans="1:9">
      <c r="A42" s="3" t="s">
        <v>22</v>
      </c>
      <c r="B42" s="3"/>
      <c r="C42" s="3"/>
      <c r="D42" s="3"/>
      <c r="E42" s="3"/>
      <c r="F42" s="3"/>
      <c r="G42" s="8">
        <v>63807.67</v>
      </c>
      <c r="H42" s="117" t="s">
        <v>199</v>
      </c>
      <c r="I42" s="3"/>
    </row>
    <row r="43" spans="1:9">
      <c r="A43" s="3" t="s">
        <v>23</v>
      </c>
      <c r="B43" s="3"/>
      <c r="C43" s="3"/>
      <c r="D43" s="3"/>
      <c r="E43" s="3"/>
      <c r="F43" s="3"/>
      <c r="G43" s="10">
        <v>40277.49</v>
      </c>
      <c r="H43" s="117" t="s">
        <v>199</v>
      </c>
      <c r="I43" s="12"/>
    </row>
    <row r="44" spans="1:9" ht="15.75">
      <c r="A44" s="6" t="s">
        <v>24</v>
      </c>
      <c r="B44" s="3"/>
      <c r="C44" s="3"/>
      <c r="D44" s="3"/>
      <c r="E44" s="3"/>
      <c r="F44" s="3"/>
      <c r="G44" s="11">
        <f>SUM(G25:G43)</f>
        <v>2256110.4200000004</v>
      </c>
      <c r="H44" s="113"/>
      <c r="I44" s="3"/>
    </row>
    <row r="45" spans="1:9" ht="15.75">
      <c r="A45" s="6"/>
      <c r="B45" s="3"/>
      <c r="C45" s="3"/>
      <c r="D45" s="3"/>
      <c r="E45" s="3"/>
      <c r="F45" s="3"/>
      <c r="G45" s="11"/>
      <c r="H45" s="113"/>
      <c r="I45" s="3"/>
    </row>
    <row r="46" spans="1:9" ht="15.75">
      <c r="A46" s="6" t="s">
        <v>44</v>
      </c>
      <c r="B46" s="3"/>
      <c r="C46" s="3"/>
      <c r="D46" s="3"/>
      <c r="E46" s="3"/>
      <c r="F46" s="11"/>
      <c r="G46" s="11"/>
      <c r="H46" s="113"/>
      <c r="I46" s="3"/>
    </row>
    <row r="47" spans="1:9">
      <c r="A47" s="9" t="s">
        <v>194</v>
      </c>
      <c r="B47" s="3"/>
      <c r="C47" s="3"/>
      <c r="D47" s="3"/>
      <c r="E47" s="3"/>
      <c r="F47" s="3"/>
      <c r="G47" s="8">
        <f>51.61*859.878</f>
        <v>44378.30358</v>
      </c>
      <c r="H47" s="112">
        <v>40178</v>
      </c>
      <c r="I47" s="3"/>
    </row>
    <row r="48" spans="1:9">
      <c r="A48" s="9" t="s">
        <v>196</v>
      </c>
      <c r="B48" s="3"/>
      <c r="C48" s="3"/>
      <c r="D48" s="3"/>
      <c r="E48" s="3"/>
      <c r="F48" s="3"/>
      <c r="G48" s="8">
        <v>1347.52</v>
      </c>
      <c r="H48" s="118">
        <v>40543</v>
      </c>
      <c r="I48" s="3"/>
    </row>
    <row r="49" spans="1:23">
      <c r="A49" s="9" t="s">
        <v>195</v>
      </c>
      <c r="B49" s="3"/>
      <c r="C49" s="3"/>
      <c r="D49" s="3"/>
      <c r="E49" s="3"/>
      <c r="F49" s="3"/>
      <c r="G49" s="14">
        <v>5221.54</v>
      </c>
      <c r="H49" s="118">
        <v>40543</v>
      </c>
      <c r="I49" s="3"/>
    </row>
    <row r="50" spans="1:23" ht="15.75">
      <c r="A50" s="15" t="s">
        <v>45</v>
      </c>
      <c r="B50" s="3"/>
      <c r="C50" s="3"/>
      <c r="D50" s="3"/>
      <c r="E50" s="3"/>
      <c r="F50" s="3"/>
      <c r="G50" s="16">
        <f>SUM(G47:G49)</f>
        <v>50947.363579999997</v>
      </c>
      <c r="H50" s="112"/>
      <c r="I50" s="32"/>
    </row>
    <row r="51" spans="1:23">
      <c r="A51" s="3"/>
      <c r="B51" s="3"/>
      <c r="C51" s="3"/>
      <c r="D51" s="3"/>
      <c r="E51" s="3"/>
      <c r="F51" s="3"/>
      <c r="G51" s="17"/>
      <c r="H51" s="113"/>
    </row>
    <row r="52" spans="1:23" ht="15.75">
      <c r="A52" s="6" t="s">
        <v>25</v>
      </c>
      <c r="B52" s="3"/>
      <c r="C52" s="3"/>
      <c r="D52" s="3"/>
      <c r="E52" s="3"/>
      <c r="F52" s="3"/>
      <c r="G52" s="11">
        <f>G22+G44+G50</f>
        <v>2472905.3335800003</v>
      </c>
      <c r="H52" s="113"/>
      <c r="I52" s="18"/>
    </row>
    <row r="53" spans="1:23">
      <c r="A53" s="3"/>
      <c r="B53" s="3"/>
      <c r="C53" s="3"/>
      <c r="D53" s="3"/>
      <c r="E53" s="3"/>
      <c r="F53" s="3"/>
      <c r="G53" s="19"/>
      <c r="H53" s="113"/>
      <c r="I53" s="3"/>
    </row>
    <row r="54" spans="1:23" ht="16.5" thickBot="1">
      <c r="A54" s="6" t="s">
        <v>26</v>
      </c>
      <c r="B54" s="3"/>
      <c r="C54" s="3"/>
      <c r="D54" s="3"/>
      <c r="E54" s="3"/>
      <c r="F54" s="3"/>
      <c r="G54" s="20">
        <f>G14+G52</f>
        <v>2654785.6835800004</v>
      </c>
      <c r="H54" s="113"/>
      <c r="I54" s="3"/>
    </row>
    <row r="55" spans="1:23" ht="15.75" thickTop="1">
      <c r="A55" s="3"/>
      <c r="B55" s="3"/>
      <c r="C55" s="3"/>
      <c r="D55" s="3"/>
      <c r="E55" s="3"/>
      <c r="F55" s="3"/>
      <c r="G55" s="11"/>
      <c r="H55" s="113"/>
      <c r="I55" s="3"/>
    </row>
    <row r="56" spans="1:23" ht="15.75">
      <c r="A56" s="21" t="s">
        <v>38</v>
      </c>
      <c r="B56" s="3"/>
      <c r="C56" s="3"/>
      <c r="D56" s="3"/>
      <c r="E56" s="3"/>
      <c r="F56" s="3"/>
      <c r="G56" s="11"/>
      <c r="H56" s="113"/>
      <c r="I56" s="3"/>
    </row>
    <row r="57" spans="1:23">
      <c r="H57" s="114"/>
    </row>
    <row r="58" spans="1:23" ht="15.75">
      <c r="A58" s="6" t="s">
        <v>27</v>
      </c>
      <c r="B58" s="3"/>
      <c r="C58" s="3"/>
      <c r="D58" s="3"/>
      <c r="E58" s="3"/>
      <c r="F58" s="3"/>
      <c r="G58" s="3"/>
      <c r="H58" s="115"/>
    </row>
    <row r="59" spans="1:23" ht="6.75" customHeight="1">
      <c r="A59" s="3"/>
      <c r="B59" s="3"/>
      <c r="C59" s="3"/>
      <c r="D59" s="3"/>
      <c r="E59" s="3"/>
      <c r="F59" s="3"/>
      <c r="G59" s="8"/>
      <c r="H59" s="112"/>
      <c r="I59" s="22"/>
    </row>
    <row r="60" spans="1:23">
      <c r="A60" s="3" t="s">
        <v>55</v>
      </c>
      <c r="B60" s="3"/>
      <c r="C60" s="3"/>
      <c r="D60" s="3"/>
      <c r="E60" s="3"/>
      <c r="F60" s="3"/>
      <c r="G60" s="14">
        <v>72900.13</v>
      </c>
      <c r="H60" s="117">
        <v>40543</v>
      </c>
      <c r="I60" s="34"/>
      <c r="J60" s="3"/>
      <c r="K60" s="3"/>
      <c r="L60" s="3"/>
      <c r="M60" s="3"/>
      <c r="N60" s="3"/>
      <c r="O60" s="3"/>
      <c r="P60" s="3"/>
      <c r="Q60" s="8"/>
      <c r="R60" s="13"/>
      <c r="S60" s="3"/>
      <c r="T60" s="3"/>
      <c r="U60" s="3"/>
      <c r="V60" s="3"/>
      <c r="W60" s="3"/>
    </row>
    <row r="61" spans="1:23" ht="16.5" thickBot="1">
      <c r="A61" s="6" t="s">
        <v>28</v>
      </c>
      <c r="B61" s="3"/>
      <c r="C61" s="3"/>
      <c r="D61" s="3"/>
      <c r="E61" s="3"/>
      <c r="F61" s="3"/>
      <c r="G61" s="11">
        <f>SUM(G59:G60)</f>
        <v>72900.13</v>
      </c>
      <c r="H61" s="113"/>
      <c r="I61" s="34"/>
    </row>
    <row r="62" spans="1:23">
      <c r="H62" s="114"/>
      <c r="I62" s="93" t="s">
        <v>127</v>
      </c>
    </row>
    <row r="63" spans="1:23" ht="16.5" thickBot="1">
      <c r="A63" s="21" t="s">
        <v>39</v>
      </c>
      <c r="B63" s="3"/>
      <c r="C63" s="3"/>
      <c r="D63" s="37"/>
      <c r="E63" s="38"/>
      <c r="F63" s="3"/>
      <c r="G63" s="23">
        <f>2261492.79+110760.65+209632.11</f>
        <v>2581885.5499999998</v>
      </c>
      <c r="H63" s="116"/>
      <c r="I63" s="94">
        <v>2372253.44</v>
      </c>
    </row>
    <row r="64" spans="1:23" ht="16.5" thickBot="1">
      <c r="A64" s="21" t="s">
        <v>40</v>
      </c>
      <c r="B64" s="3"/>
      <c r="C64" s="3"/>
      <c r="D64" s="3"/>
      <c r="E64" s="3"/>
      <c r="F64" s="3"/>
      <c r="G64" s="20">
        <f>G61+G63</f>
        <v>2654785.6799999997</v>
      </c>
      <c r="H64" s="113"/>
      <c r="I64" s="93" t="s">
        <v>128</v>
      </c>
    </row>
    <row r="65" spans="1:10" ht="16.5" thickTop="1" thickBot="1">
      <c r="A65" s="3"/>
      <c r="B65" s="3"/>
      <c r="C65" s="3"/>
      <c r="D65" s="3" t="s">
        <v>29</v>
      </c>
      <c r="F65" s="3"/>
      <c r="G65" s="30">
        <f>ROUND(+G54-G64,2)</f>
        <v>0</v>
      </c>
      <c r="H65" s="113"/>
      <c r="I65" s="95">
        <f>+G63-I63</f>
        <v>209632.10999999987</v>
      </c>
    </row>
    <row r="66" spans="1:10" ht="8.25" customHeight="1">
      <c r="H66" s="114"/>
      <c r="I66" s="92"/>
    </row>
    <row r="67" spans="1:10" ht="15.75">
      <c r="A67" s="6" t="s">
        <v>46</v>
      </c>
      <c r="B67" s="3"/>
      <c r="C67" s="3"/>
      <c r="D67" s="3"/>
      <c r="E67" s="40"/>
      <c r="F67" s="3"/>
      <c r="G67" s="39">
        <f>G14+G22+SUM(G38:G43)+G50+G25+G26+G28-G61</f>
        <v>1444034.8035799996</v>
      </c>
      <c r="H67" s="113"/>
      <c r="I67" s="92"/>
      <c r="J67" s="41"/>
    </row>
    <row r="68" spans="1:10">
      <c r="A68" s="3"/>
      <c r="B68" s="3"/>
      <c r="C68" s="3"/>
      <c r="D68" s="3"/>
      <c r="E68" s="3"/>
      <c r="F68" s="3"/>
      <c r="G68" s="18"/>
      <c r="H68" s="113"/>
    </row>
    <row r="69" spans="1:10" ht="15.75">
      <c r="A69" s="24" t="s">
        <v>41</v>
      </c>
      <c r="B69" s="3"/>
      <c r="C69" s="3"/>
      <c r="D69" s="3"/>
      <c r="E69" s="3"/>
      <c r="F69" s="3"/>
      <c r="G69" s="18"/>
      <c r="H69" s="113"/>
    </row>
    <row r="70" spans="1:10">
      <c r="A70" s="3" t="s">
        <v>17</v>
      </c>
      <c r="B70" s="3"/>
      <c r="C70" s="3"/>
      <c r="D70" s="3"/>
      <c r="E70" s="3"/>
      <c r="F70" s="3"/>
      <c r="G70" s="16">
        <v>15000</v>
      </c>
      <c r="H70" s="117" t="s">
        <v>11</v>
      </c>
      <c r="I70" s="3"/>
    </row>
    <row r="71" spans="1:10">
      <c r="A71" s="3" t="s">
        <v>49</v>
      </c>
      <c r="B71" s="3"/>
      <c r="C71" s="3"/>
      <c r="D71" s="3"/>
      <c r="E71" s="3"/>
      <c r="F71" s="3"/>
      <c r="G71" s="33">
        <v>10000</v>
      </c>
      <c r="H71" s="117" t="s">
        <v>11</v>
      </c>
      <c r="I71" s="3"/>
    </row>
    <row r="72" spans="1:10">
      <c r="A72" s="3" t="s">
        <v>67</v>
      </c>
      <c r="B72" s="3"/>
      <c r="C72" s="3"/>
      <c r="D72" s="3"/>
      <c r="E72" s="3"/>
      <c r="F72" s="3"/>
      <c r="G72" s="8">
        <v>6455.15</v>
      </c>
      <c r="H72" s="117">
        <v>40543</v>
      </c>
      <c r="I72" s="3"/>
    </row>
    <row r="73" spans="1:10" ht="15.75">
      <c r="A73" s="9" t="s">
        <v>60</v>
      </c>
      <c r="B73" s="3"/>
      <c r="C73" s="6" t="s">
        <v>198</v>
      </c>
      <c r="D73" s="3"/>
      <c r="E73" s="3"/>
      <c r="F73" s="3"/>
      <c r="G73" s="8">
        <v>2048.89</v>
      </c>
      <c r="H73" s="117">
        <v>40543</v>
      </c>
    </row>
    <row r="74" spans="1:10">
      <c r="A74" s="9" t="s">
        <v>59</v>
      </c>
      <c r="B74" s="3"/>
      <c r="C74" s="3"/>
      <c r="D74" s="3"/>
      <c r="E74" s="3"/>
      <c r="F74" s="3"/>
      <c r="G74" s="14">
        <v>12737.4</v>
      </c>
      <c r="H74" s="117">
        <v>40543</v>
      </c>
    </row>
    <row r="75" spans="1:10" ht="16.5" thickBot="1">
      <c r="A75" s="21" t="s">
        <v>42</v>
      </c>
      <c r="B75" s="3"/>
      <c r="C75" s="3"/>
      <c r="D75" s="3"/>
      <c r="E75" s="3"/>
      <c r="F75" s="3"/>
      <c r="G75" s="35">
        <f>SUM(G70:G74)</f>
        <v>46241.440000000002</v>
      </c>
      <c r="H75" s="114"/>
    </row>
    <row r="76" spans="1:10" ht="15.75" thickTop="1">
      <c r="G76" s="27"/>
      <c r="H76" s="114"/>
    </row>
    <row r="77" spans="1:10" ht="15.75">
      <c r="A77" s="24" t="s">
        <v>58</v>
      </c>
      <c r="H77" s="114"/>
    </row>
    <row r="78" spans="1:10">
      <c r="A78" s="3" t="s">
        <v>63</v>
      </c>
      <c r="B78" s="3"/>
      <c r="C78" s="3"/>
      <c r="D78" s="3"/>
      <c r="E78" s="3"/>
      <c r="F78" s="3"/>
      <c r="G78" s="33">
        <v>10000</v>
      </c>
      <c r="H78" s="117" t="s">
        <v>11</v>
      </c>
      <c r="I78" s="3"/>
    </row>
    <row r="79" spans="1:10">
      <c r="A79" s="3" t="s">
        <v>68</v>
      </c>
      <c r="B79" s="3"/>
      <c r="C79" s="3"/>
      <c r="D79" s="3"/>
      <c r="E79" s="3"/>
      <c r="F79" s="3"/>
      <c r="G79" s="8">
        <v>25921</v>
      </c>
      <c r="H79" s="113" t="s">
        <v>193</v>
      </c>
      <c r="I79" s="3"/>
    </row>
    <row r="80" spans="1:10">
      <c r="A80" s="3" t="s">
        <v>67</v>
      </c>
      <c r="B80" s="3"/>
      <c r="C80" s="3"/>
      <c r="D80" s="3"/>
      <c r="E80" s="3"/>
      <c r="F80" s="3"/>
      <c r="G80" s="8">
        <v>3313.67</v>
      </c>
      <c r="H80" s="117">
        <v>40543</v>
      </c>
      <c r="I80" s="3"/>
    </row>
    <row r="81" spans="1:9">
      <c r="A81" s="3" t="s">
        <v>64</v>
      </c>
      <c r="B81" s="3"/>
      <c r="C81" s="3"/>
      <c r="D81" s="3"/>
      <c r="E81" s="3"/>
      <c r="F81" s="3"/>
      <c r="G81" s="8">
        <v>328.02</v>
      </c>
      <c r="H81" s="117">
        <v>40543</v>
      </c>
      <c r="I81" s="3"/>
    </row>
    <row r="82" spans="1:9">
      <c r="A82" s="9" t="s">
        <v>62</v>
      </c>
      <c r="B82" s="3"/>
      <c r="C82" s="3"/>
      <c r="D82" s="3"/>
      <c r="E82" s="3"/>
      <c r="F82" s="3"/>
      <c r="G82" s="25">
        <v>2950.87</v>
      </c>
      <c r="H82" s="117">
        <v>40543</v>
      </c>
    </row>
    <row r="83" spans="1:9">
      <c r="A83" s="9" t="s">
        <v>59</v>
      </c>
      <c r="B83" s="3"/>
      <c r="C83" s="3"/>
      <c r="D83" s="3"/>
      <c r="E83" s="3"/>
      <c r="F83" s="3"/>
      <c r="G83" s="25">
        <v>5930.57</v>
      </c>
      <c r="H83" s="117">
        <v>40543</v>
      </c>
    </row>
    <row r="84" spans="1:9" ht="16.5" thickBot="1">
      <c r="A84" s="21" t="s">
        <v>61</v>
      </c>
      <c r="B84" s="3"/>
      <c r="C84" s="3"/>
      <c r="D84" s="3"/>
      <c r="E84" s="3"/>
      <c r="F84" s="3"/>
      <c r="G84" s="35">
        <f>SUM(G78:G83)</f>
        <v>48444.13</v>
      </c>
      <c r="H84" s="114"/>
    </row>
    <row r="85" spans="1:9" ht="16.5" thickTop="1">
      <c r="A85" s="21"/>
      <c r="B85" s="3"/>
      <c r="C85" s="3"/>
      <c r="D85" s="3"/>
      <c r="E85" s="3"/>
      <c r="F85" s="3"/>
      <c r="G85" s="36"/>
      <c r="H85" s="114"/>
    </row>
    <row r="86" spans="1:9" ht="15.75">
      <c r="A86" s="24" t="s">
        <v>71</v>
      </c>
      <c r="H86" s="114"/>
    </row>
    <row r="87" spans="1:9">
      <c r="A87" s="34" t="s">
        <v>74</v>
      </c>
      <c r="B87" s="3"/>
      <c r="C87" s="3"/>
      <c r="D87" s="3"/>
      <c r="E87" s="3"/>
      <c r="F87" s="3"/>
      <c r="G87" s="8">
        <v>4604.21</v>
      </c>
      <c r="H87" s="118">
        <v>40543</v>
      </c>
    </row>
    <row r="89" spans="1:9" ht="15.75">
      <c r="A89" s="24" t="s">
        <v>77</v>
      </c>
      <c r="H89" s="28"/>
    </row>
    <row r="90" spans="1:9">
      <c r="A90" s="34" t="s">
        <v>75</v>
      </c>
      <c r="B90" s="3"/>
      <c r="C90" s="3"/>
      <c r="D90" s="3" t="s">
        <v>76</v>
      </c>
      <c r="E90" s="3"/>
      <c r="F90" s="3"/>
      <c r="G90" s="25"/>
      <c r="H90" s="4"/>
    </row>
  </sheetData>
  <mergeCells count="3">
    <mergeCell ref="A1:H1"/>
    <mergeCell ref="A2:H2"/>
    <mergeCell ref="A3:H3"/>
  </mergeCells>
  <phoneticPr fontId="9" type="noConversion"/>
  <printOptions horizontalCentered="1" verticalCentered="1"/>
  <pageMargins left="0" right="0" top="0" bottom="0" header="0.5" footer="0.5"/>
  <pageSetup scale="76" orientation="portrait" r:id="rId1"/>
  <headerFooter alignWithMargins="0"/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transitionEvaluation="1"/>
  <dimension ref="A1:B10"/>
  <sheetViews>
    <sheetView showGridLines="0" workbookViewId="0">
      <selection activeCell="A16" sqref="A16"/>
    </sheetView>
  </sheetViews>
  <sheetFormatPr defaultColWidth="9.77734375" defaultRowHeight="15.75"/>
  <sheetData>
    <row r="1" spans="1:2" ht="19.5">
      <c r="A1" s="2" t="s">
        <v>30</v>
      </c>
      <c r="B1" s="1"/>
    </row>
    <row r="3" spans="1:2">
      <c r="A3" s="1" t="s">
        <v>31</v>
      </c>
      <c r="B3" s="1"/>
    </row>
    <row r="4" spans="1:2">
      <c r="A4" s="1"/>
      <c r="B4" s="1" t="s">
        <v>32</v>
      </c>
    </row>
    <row r="5" spans="1:2">
      <c r="A5" s="1"/>
      <c r="B5" s="1" t="s">
        <v>33</v>
      </c>
    </row>
    <row r="6" spans="1:2">
      <c r="A6" s="1"/>
      <c r="B6" s="1" t="s">
        <v>34</v>
      </c>
    </row>
    <row r="7" spans="1:2">
      <c r="A7" s="1"/>
      <c r="B7" s="1" t="s">
        <v>35</v>
      </c>
    </row>
    <row r="9" spans="1:2">
      <c r="A9" s="1"/>
      <c r="B9" s="1" t="s">
        <v>36</v>
      </c>
    </row>
    <row r="10" spans="1:2">
      <c r="A10" s="1"/>
      <c r="B10" s="1" t="s">
        <v>37</v>
      </c>
    </row>
  </sheetData>
  <phoneticPr fontId="9" type="noConversion"/>
  <pageMargins left="1" right="0.5" top="0.5" bottom="0.55000000000000004" header="0.5" footer="0.5"/>
  <pageSetup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transitionEvaluation="1"/>
  <dimension ref="A1:AP31"/>
  <sheetViews>
    <sheetView showGridLines="0" workbookViewId="0">
      <selection activeCell="C5" sqref="C5"/>
    </sheetView>
  </sheetViews>
  <sheetFormatPr defaultColWidth="9.77734375" defaultRowHeight="15"/>
  <cols>
    <col min="1" max="3" width="9.77734375" style="5"/>
    <col min="4" max="4" width="11.44140625" style="5" bestFit="1" customWidth="1"/>
    <col min="5" max="5" width="11.44140625" style="79" customWidth="1"/>
    <col min="6" max="7" width="10.77734375" style="5" customWidth="1"/>
    <col min="8" max="20" width="10.77734375" style="5" hidden="1" customWidth="1"/>
    <col min="21" max="21" width="10.77734375" style="5" customWidth="1"/>
    <col min="22" max="40" width="10.77734375" style="5" hidden="1" customWidth="1"/>
    <col min="41" max="41" width="10.77734375" style="5" customWidth="1"/>
    <col min="42" max="16384" width="9.77734375" style="5"/>
  </cols>
  <sheetData>
    <row r="1" spans="1:41" ht="17.25" customHeight="1">
      <c r="A1" s="126" t="s">
        <v>52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</row>
    <row r="2" spans="1:41" ht="15.75" customHeight="1">
      <c r="A2" s="128" t="str">
        <f>+'Balance Sheet'!A3:H3</f>
        <v>December 31, 2010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</row>
    <row r="4" spans="1:41" ht="15.75">
      <c r="A4" s="5" t="s">
        <v>80</v>
      </c>
      <c r="C4" s="43">
        <v>14</v>
      </c>
    </row>
    <row r="5" spans="1:41" ht="15.75">
      <c r="A5" s="5" t="s">
        <v>81</v>
      </c>
      <c r="C5" s="90">
        <v>0.06</v>
      </c>
    </row>
    <row r="7" spans="1:41">
      <c r="A7" s="3"/>
      <c r="B7" s="3"/>
      <c r="C7" s="3"/>
      <c r="D7" s="3"/>
      <c r="E7" s="80"/>
      <c r="F7" s="3"/>
      <c r="G7" s="3"/>
    </row>
    <row r="8" spans="1:41" s="48" customFormat="1" ht="47.25">
      <c r="A8" s="130" t="s">
        <v>3</v>
      </c>
      <c r="B8" s="130"/>
      <c r="C8" s="130"/>
      <c r="D8" s="131"/>
      <c r="E8" s="82"/>
      <c r="F8" s="44" t="s">
        <v>79</v>
      </c>
      <c r="G8" s="45" t="s">
        <v>82</v>
      </c>
      <c r="H8" s="46" t="s">
        <v>106</v>
      </c>
      <c r="I8" s="47" t="s">
        <v>107</v>
      </c>
      <c r="J8" s="47" t="s">
        <v>108</v>
      </c>
      <c r="K8" s="47" t="s">
        <v>109</v>
      </c>
      <c r="L8" s="47" t="s">
        <v>110</v>
      </c>
      <c r="M8" s="47" t="s">
        <v>111</v>
      </c>
      <c r="N8" s="47" t="s">
        <v>112</v>
      </c>
      <c r="O8" s="47" t="s">
        <v>113</v>
      </c>
      <c r="P8" s="47" t="s">
        <v>114</v>
      </c>
      <c r="Q8" s="47" t="s">
        <v>115</v>
      </c>
      <c r="R8" s="47" t="s">
        <v>116</v>
      </c>
      <c r="S8" s="47" t="s">
        <v>117</v>
      </c>
      <c r="T8" s="47" t="s">
        <v>118</v>
      </c>
      <c r="U8" s="47" t="s">
        <v>119</v>
      </c>
      <c r="V8" s="52" t="s">
        <v>83</v>
      </c>
      <c r="W8" s="53" t="s">
        <v>84</v>
      </c>
      <c r="X8" s="53" t="s">
        <v>85</v>
      </c>
      <c r="Y8" s="53" t="s">
        <v>86</v>
      </c>
      <c r="Z8" s="53" t="s">
        <v>87</v>
      </c>
      <c r="AA8" s="53" t="s">
        <v>88</v>
      </c>
      <c r="AB8" s="53" t="s">
        <v>89</v>
      </c>
      <c r="AC8" s="53" t="s">
        <v>90</v>
      </c>
      <c r="AD8" s="53" t="s">
        <v>91</v>
      </c>
      <c r="AE8" s="53" t="s">
        <v>92</v>
      </c>
      <c r="AF8" s="53" t="s">
        <v>93</v>
      </c>
      <c r="AG8" s="53" t="s">
        <v>94</v>
      </c>
      <c r="AH8" s="53" t="s">
        <v>95</v>
      </c>
      <c r="AI8" s="53" t="s">
        <v>96</v>
      </c>
      <c r="AJ8" s="53" t="s">
        <v>97</v>
      </c>
      <c r="AK8" s="53" t="s">
        <v>98</v>
      </c>
      <c r="AL8" s="53" t="s">
        <v>99</v>
      </c>
      <c r="AM8" s="53" t="s">
        <v>100</v>
      </c>
      <c r="AN8" s="53" t="s">
        <v>101</v>
      </c>
      <c r="AO8" s="51" t="s">
        <v>102</v>
      </c>
    </row>
    <row r="9" spans="1:41" s="78" customFormat="1">
      <c r="A9" s="129" t="str">
        <f>+'Balance Sheet'!A18</f>
        <v xml:space="preserve">  Aim Constellation Fund</v>
      </c>
      <c r="B9" s="129"/>
      <c r="C9" s="129"/>
      <c r="D9" s="129"/>
      <c r="E9" s="81" t="s">
        <v>121</v>
      </c>
      <c r="F9" s="83">
        <f>+'Balance Sheet'!G18</f>
        <v>25771.85</v>
      </c>
      <c r="G9" s="75">
        <v>6000</v>
      </c>
      <c r="H9" s="76">
        <f t="shared" ref="H9:H20" si="0">(+F9+$G9)*(1+$C$5)</f>
        <v>33678.161</v>
      </c>
      <c r="I9" s="76">
        <f>(+H9+$G9-H24)*(1+$C$5)</f>
        <v>42058.850660000004</v>
      </c>
      <c r="J9" s="76">
        <f t="shared" ref="J9:U9" si="1">(+I9+$G9-I24)*(1+$C$5)</f>
        <v>50942.38169960001</v>
      </c>
      <c r="K9" s="76">
        <f t="shared" si="1"/>
        <v>60358.924601576015</v>
      </c>
      <c r="L9" s="76">
        <f t="shared" si="1"/>
        <v>70340.460077670577</v>
      </c>
      <c r="M9" s="76">
        <f t="shared" si="1"/>
        <v>80920.887682330809</v>
      </c>
      <c r="N9" s="76">
        <f t="shared" si="1"/>
        <v>60336.140943270664</v>
      </c>
      <c r="O9" s="76">
        <f t="shared" si="1"/>
        <v>38516.309399866914</v>
      </c>
      <c r="P9" s="76">
        <f t="shared" si="1"/>
        <v>15387.287963858929</v>
      </c>
      <c r="Q9" s="76">
        <f t="shared" si="1"/>
        <v>-9129.4747583095359</v>
      </c>
      <c r="R9" s="76">
        <f t="shared" si="1"/>
        <v>-3317.2432438081082</v>
      </c>
      <c r="S9" s="76">
        <f t="shared" si="1"/>
        <v>2843.7221615634053</v>
      </c>
      <c r="T9" s="76">
        <f t="shared" si="1"/>
        <v>9374.3454912572088</v>
      </c>
      <c r="U9" s="76">
        <f t="shared" si="1"/>
        <v>16296.806220732642</v>
      </c>
      <c r="V9" s="77">
        <f>(+U9-U24)*(1+$C$5)</f>
        <v>17274.614593976603</v>
      </c>
      <c r="W9" s="77">
        <f t="shared" ref="W9:AO9" si="2">(+V9-V24)*(1+$C$5)</f>
        <v>18311.091469615199</v>
      </c>
      <c r="X9" s="77">
        <f t="shared" si="2"/>
        <v>19409.756957792113</v>
      </c>
      <c r="Y9" s="77">
        <f t="shared" si="2"/>
        <v>20574.342375259643</v>
      </c>
      <c r="Z9" s="77">
        <f t="shared" si="2"/>
        <v>21808.802917775221</v>
      </c>
      <c r="AA9" s="77">
        <f t="shared" si="2"/>
        <v>23117.331092841734</v>
      </c>
      <c r="AB9" s="77">
        <f t="shared" si="2"/>
        <v>24504.370958412241</v>
      </c>
      <c r="AC9" s="77">
        <f t="shared" si="2"/>
        <v>25974.633215916976</v>
      </c>
      <c r="AD9" s="77">
        <f t="shared" si="2"/>
        <v>27533.111208871996</v>
      </c>
      <c r="AE9" s="77">
        <f t="shared" si="2"/>
        <v>29185.097881404319</v>
      </c>
      <c r="AF9" s="77">
        <f t="shared" si="2"/>
        <v>30936.203754288581</v>
      </c>
      <c r="AG9" s="77">
        <f t="shared" si="2"/>
        <v>32792.375979545897</v>
      </c>
      <c r="AH9" s="77">
        <f t="shared" si="2"/>
        <v>-12940.08146168135</v>
      </c>
      <c r="AI9" s="77">
        <f t="shared" si="2"/>
        <v>-13716.48634938223</v>
      </c>
      <c r="AJ9" s="77">
        <f t="shared" si="2"/>
        <v>-14539.475530345166</v>
      </c>
      <c r="AK9" s="77">
        <f t="shared" si="2"/>
        <v>-15411.844062165876</v>
      </c>
      <c r="AL9" s="77">
        <f t="shared" si="2"/>
        <v>-16336.554705895829</v>
      </c>
      <c r="AM9" s="77">
        <f t="shared" si="2"/>
        <v>-17316.747988249579</v>
      </c>
      <c r="AN9" s="77">
        <f t="shared" si="2"/>
        <v>-18355.752867544554</v>
      </c>
      <c r="AO9" s="84">
        <f t="shared" si="2"/>
        <v>-19457.098039597229</v>
      </c>
    </row>
    <row r="10" spans="1:41" s="78" customFormat="1">
      <c r="A10" s="129" t="str">
        <f>+'Balance Sheet'!A19</f>
        <v xml:space="preserve">  Aim Global Growth</v>
      </c>
      <c r="B10" s="129"/>
      <c r="C10" s="129"/>
      <c r="D10" s="129"/>
      <c r="E10" s="81"/>
      <c r="F10" s="83">
        <f>+'Balance Sheet'!G19</f>
        <v>6930.75</v>
      </c>
      <c r="G10" s="75">
        <v>0</v>
      </c>
      <c r="H10" s="76">
        <f t="shared" si="0"/>
        <v>7346.5950000000003</v>
      </c>
      <c r="I10" s="76">
        <f t="shared" ref="I10:U10" si="3">(+H10+$G10)*(1+$C$5)</f>
        <v>7787.3907000000008</v>
      </c>
      <c r="J10" s="76">
        <f t="shared" si="3"/>
        <v>8254.6341420000008</v>
      </c>
      <c r="K10" s="76">
        <f t="shared" si="3"/>
        <v>8749.9121905200009</v>
      </c>
      <c r="L10" s="76">
        <f t="shared" si="3"/>
        <v>9274.9069219512021</v>
      </c>
      <c r="M10" s="76">
        <f t="shared" si="3"/>
        <v>9831.4013372682748</v>
      </c>
      <c r="N10" s="76">
        <f t="shared" si="3"/>
        <v>10421.285417504372</v>
      </c>
      <c r="O10" s="76">
        <f t="shared" si="3"/>
        <v>11046.562542554635</v>
      </c>
      <c r="P10" s="76">
        <f t="shared" si="3"/>
        <v>11709.356295107913</v>
      </c>
      <c r="Q10" s="76">
        <f t="shared" si="3"/>
        <v>12411.917672814388</v>
      </c>
      <c r="R10" s="76">
        <f t="shared" si="3"/>
        <v>13156.632733183253</v>
      </c>
      <c r="S10" s="76">
        <f t="shared" si="3"/>
        <v>13946.030697174248</v>
      </c>
      <c r="T10" s="76">
        <f t="shared" si="3"/>
        <v>14782.792539004704</v>
      </c>
      <c r="U10" s="76">
        <f t="shared" si="3"/>
        <v>15669.760091344988</v>
      </c>
      <c r="V10" s="77">
        <f t="shared" ref="V10:AK10" si="4">(+U10)*(1+$C$5)</f>
        <v>16609.945696825689</v>
      </c>
      <c r="W10" s="77">
        <f t="shared" si="4"/>
        <v>17606.542438635232</v>
      </c>
      <c r="X10" s="77">
        <f t="shared" si="4"/>
        <v>18662.934984953346</v>
      </c>
      <c r="Y10" s="77">
        <f t="shared" si="4"/>
        <v>19782.711084050548</v>
      </c>
      <c r="Z10" s="77">
        <f t="shared" si="4"/>
        <v>20969.673749093581</v>
      </c>
      <c r="AA10" s="77">
        <f t="shared" si="4"/>
        <v>22227.854174039196</v>
      </c>
      <c r="AB10" s="77">
        <f t="shared" si="4"/>
        <v>23561.525424481548</v>
      </c>
      <c r="AC10" s="77">
        <f t="shared" si="4"/>
        <v>24975.216949950442</v>
      </c>
      <c r="AD10" s="77">
        <f t="shared" si="4"/>
        <v>26473.729966947471</v>
      </c>
      <c r="AE10" s="77">
        <f t="shared" si="4"/>
        <v>28062.153764964321</v>
      </c>
      <c r="AF10" s="77">
        <f t="shared" si="4"/>
        <v>29745.882990862181</v>
      </c>
      <c r="AG10" s="77">
        <f t="shared" si="4"/>
        <v>31530.635970313913</v>
      </c>
      <c r="AH10" s="77">
        <f t="shared" si="4"/>
        <v>33422.474128532747</v>
      </c>
      <c r="AI10" s="77">
        <f t="shared" si="4"/>
        <v>35427.822576244711</v>
      </c>
      <c r="AJ10" s="77">
        <f t="shared" si="4"/>
        <v>37553.491930819393</v>
      </c>
      <c r="AK10" s="77">
        <f t="shared" si="4"/>
        <v>39806.701446668558</v>
      </c>
      <c r="AL10" s="77">
        <f t="shared" ref="W10:AO20" si="5">(+AK10)*(1+$C$5)</f>
        <v>42195.103533468675</v>
      </c>
      <c r="AM10" s="77">
        <f t="shared" si="5"/>
        <v>44726.809745476799</v>
      </c>
      <c r="AN10" s="77">
        <f t="shared" si="5"/>
        <v>47410.418330205408</v>
      </c>
      <c r="AO10" s="84">
        <f t="shared" si="5"/>
        <v>50255.043430017737</v>
      </c>
    </row>
    <row r="11" spans="1:41" s="78" customFormat="1">
      <c r="A11" s="129" t="str">
        <f>+'Balance Sheet'!A20</f>
        <v xml:space="preserve">  Aim Capital Development Fund</v>
      </c>
      <c r="B11" s="129"/>
      <c r="C11" s="129"/>
      <c r="D11" s="129"/>
      <c r="E11" s="81"/>
      <c r="F11" s="83">
        <f>+'Balance Sheet'!G20</f>
        <v>41058.33</v>
      </c>
      <c r="G11" s="75">
        <v>0</v>
      </c>
      <c r="H11" s="76">
        <f t="shared" si="0"/>
        <v>43521.829800000007</v>
      </c>
      <c r="I11" s="76">
        <f t="shared" ref="I11:U11" si="6">(+H11+$G11)*(1+$C$5)</f>
        <v>46133.139588000013</v>
      </c>
      <c r="J11" s="76">
        <f t="shared" si="6"/>
        <v>48901.127963280014</v>
      </c>
      <c r="K11" s="76">
        <f t="shared" si="6"/>
        <v>51835.195641076818</v>
      </c>
      <c r="L11" s="76">
        <f t="shared" si="6"/>
        <v>54945.307379541431</v>
      </c>
      <c r="M11" s="76">
        <f t="shared" si="6"/>
        <v>58242.025822313917</v>
      </c>
      <c r="N11" s="76">
        <f t="shared" si="6"/>
        <v>61736.547371652756</v>
      </c>
      <c r="O11" s="76">
        <f t="shared" si="6"/>
        <v>65440.740213951925</v>
      </c>
      <c r="P11" s="76">
        <f t="shared" si="6"/>
        <v>69367.184626789051</v>
      </c>
      <c r="Q11" s="76">
        <f t="shared" si="6"/>
        <v>73529.215704396396</v>
      </c>
      <c r="R11" s="76">
        <f t="shared" si="6"/>
        <v>77940.968646660185</v>
      </c>
      <c r="S11" s="76">
        <f t="shared" si="6"/>
        <v>82617.426765459793</v>
      </c>
      <c r="T11" s="76">
        <f t="shared" si="6"/>
        <v>87574.472371387383</v>
      </c>
      <c r="U11" s="76">
        <f t="shared" si="6"/>
        <v>92828.940713670629</v>
      </c>
      <c r="V11" s="77">
        <f>(+U11)*(1+$C$5)</f>
        <v>98398.67715649087</v>
      </c>
      <c r="W11" s="77">
        <f t="shared" si="5"/>
        <v>104302.59778588032</v>
      </c>
      <c r="X11" s="77">
        <f t="shared" si="5"/>
        <v>110560.75365303314</v>
      </c>
      <c r="Y11" s="77">
        <f t="shared" si="5"/>
        <v>117194.39887221514</v>
      </c>
      <c r="Z11" s="77">
        <f t="shared" si="5"/>
        <v>124226.06280454806</v>
      </c>
      <c r="AA11" s="77">
        <f t="shared" si="5"/>
        <v>131679.62657282094</v>
      </c>
      <c r="AB11" s="77">
        <f t="shared" si="5"/>
        <v>139580.40416719019</v>
      </c>
      <c r="AC11" s="77">
        <f t="shared" si="5"/>
        <v>147955.2284172216</v>
      </c>
      <c r="AD11" s="77">
        <f t="shared" si="5"/>
        <v>156832.5421222549</v>
      </c>
      <c r="AE11" s="77">
        <f t="shared" si="5"/>
        <v>166242.4946495902</v>
      </c>
      <c r="AF11" s="77">
        <f t="shared" si="5"/>
        <v>176217.04432856562</v>
      </c>
      <c r="AG11" s="77">
        <f t="shared" si="5"/>
        <v>186790.06698827958</v>
      </c>
      <c r="AH11" s="77">
        <f t="shared" si="5"/>
        <v>197997.47100757636</v>
      </c>
      <c r="AI11" s="77">
        <f t="shared" si="5"/>
        <v>209877.31926803096</v>
      </c>
      <c r="AJ11" s="77">
        <f t="shared" si="5"/>
        <v>222469.95842411282</v>
      </c>
      <c r="AK11" s="77">
        <f t="shared" si="5"/>
        <v>235818.15592955961</v>
      </c>
      <c r="AL11" s="77">
        <f t="shared" si="5"/>
        <v>249967.24528533319</v>
      </c>
      <c r="AM11" s="77">
        <f t="shared" si="5"/>
        <v>264965.28000245319</v>
      </c>
      <c r="AN11" s="77">
        <f t="shared" si="5"/>
        <v>280863.1968026004</v>
      </c>
      <c r="AO11" s="84">
        <f t="shared" si="5"/>
        <v>297714.98861075647</v>
      </c>
    </row>
    <row r="12" spans="1:41" s="78" customFormat="1">
      <c r="A12" s="129" t="str">
        <f>+'Balance Sheet'!A21</f>
        <v xml:space="preserve">  Putnam Growth &amp; Income</v>
      </c>
      <c r="B12" s="129"/>
      <c r="C12" s="129"/>
      <c r="D12" s="129"/>
      <c r="E12" s="81" t="s">
        <v>122</v>
      </c>
      <c r="F12" s="83">
        <f>+'Balance Sheet'!G21</f>
        <v>92086.62</v>
      </c>
      <c r="G12" s="75">
        <v>0</v>
      </c>
      <c r="H12" s="76">
        <f t="shared" si="0"/>
        <v>97611.817200000005</v>
      </c>
      <c r="I12" s="76">
        <f>(+H12+$G12-H25)*(1+$C$5)</f>
        <v>103468.526232</v>
      </c>
      <c r="J12" s="76">
        <f t="shared" ref="J12:U12" si="7">(+I12+$G12-I25)*(1+$C$5)</f>
        <v>109676.63780592001</v>
      </c>
      <c r="K12" s="76">
        <f t="shared" si="7"/>
        <v>116257.23607427521</v>
      </c>
      <c r="L12" s="76">
        <f t="shared" si="7"/>
        <v>123232.67023873172</v>
      </c>
      <c r="M12" s="76">
        <f t="shared" si="7"/>
        <v>130626.63045305562</v>
      </c>
      <c r="N12" s="76">
        <f t="shared" si="7"/>
        <v>138464.22828023895</v>
      </c>
      <c r="O12" s="76">
        <f t="shared" si="7"/>
        <v>146772.08197705328</v>
      </c>
      <c r="P12" s="76">
        <f t="shared" si="7"/>
        <v>155578.40689567648</v>
      </c>
      <c r="Q12" s="76">
        <f t="shared" si="7"/>
        <v>164913.11130941709</v>
      </c>
      <c r="R12" s="76">
        <f t="shared" si="7"/>
        <v>174807.89798798211</v>
      </c>
      <c r="S12" s="76">
        <f t="shared" si="7"/>
        <v>185296.37186726104</v>
      </c>
      <c r="T12" s="76">
        <f t="shared" si="7"/>
        <v>196414.15417929672</v>
      </c>
      <c r="U12" s="76">
        <f t="shared" si="7"/>
        <v>176399.00343005452</v>
      </c>
      <c r="V12" s="77">
        <f>(+U12-U25)*(1+$C$5)</f>
        <v>155182.94363585781</v>
      </c>
      <c r="W12" s="77">
        <f t="shared" ref="W12:AO12" si="8">(+V12-V25)*(1+$C$5)</f>
        <v>132693.92025400928</v>
      </c>
      <c r="X12" s="77">
        <f t="shared" si="8"/>
        <v>108855.55546924984</v>
      </c>
      <c r="Y12" s="77">
        <f t="shared" si="8"/>
        <v>115386.88879740484</v>
      </c>
      <c r="Z12" s="77">
        <f t="shared" si="8"/>
        <v>122310.10212524913</v>
      </c>
      <c r="AA12" s="77">
        <f t="shared" si="8"/>
        <v>129648.70825276409</v>
      </c>
      <c r="AB12" s="77">
        <f t="shared" si="8"/>
        <v>137427.63074792994</v>
      </c>
      <c r="AC12" s="77">
        <f t="shared" si="8"/>
        <v>145673.28859280574</v>
      </c>
      <c r="AD12" s="77">
        <f t="shared" si="8"/>
        <v>154413.68590837409</v>
      </c>
      <c r="AE12" s="77">
        <f t="shared" si="8"/>
        <v>163678.50706287654</v>
      </c>
      <c r="AF12" s="77">
        <f t="shared" si="8"/>
        <v>173499.21748664914</v>
      </c>
      <c r="AG12" s="77">
        <f t="shared" si="8"/>
        <v>183909.1705358481</v>
      </c>
      <c r="AH12" s="77">
        <f t="shared" si="8"/>
        <v>194943.72076799898</v>
      </c>
      <c r="AI12" s="77">
        <f t="shared" si="8"/>
        <v>206640.34401407893</v>
      </c>
      <c r="AJ12" s="77">
        <f t="shared" si="8"/>
        <v>219038.76465492367</v>
      </c>
      <c r="AK12" s="77">
        <f t="shared" si="8"/>
        <v>232181.09053421911</v>
      </c>
      <c r="AL12" s="77">
        <f t="shared" si="8"/>
        <v>246111.95596627227</v>
      </c>
      <c r="AM12" s="77">
        <f t="shared" si="8"/>
        <v>186678.67332424861</v>
      </c>
      <c r="AN12" s="77">
        <f t="shared" si="8"/>
        <v>197879.39372370354</v>
      </c>
      <c r="AO12" s="84">
        <f t="shared" si="8"/>
        <v>209752.15734712576</v>
      </c>
    </row>
    <row r="13" spans="1:41" s="78" customFormat="1">
      <c r="A13" s="129" t="str">
        <f>+'Balance Sheet'!A39</f>
        <v xml:space="preserve">  NML - 401K Fund</v>
      </c>
      <c r="B13" s="129"/>
      <c r="C13" s="129"/>
      <c r="D13" s="129"/>
      <c r="E13" s="81"/>
      <c r="F13" s="83">
        <f>+'Balance Sheet'!G39</f>
        <v>100756.38</v>
      </c>
      <c r="G13" s="75">
        <f>6972+1743</f>
        <v>8715</v>
      </c>
      <c r="H13" s="76">
        <f t="shared" si="0"/>
        <v>116039.66280000001</v>
      </c>
      <c r="I13" s="76">
        <f t="shared" ref="I13:U13" si="9">(+H13+$G13)*(1+$C$5)</f>
        <v>132239.942568</v>
      </c>
      <c r="J13" s="76">
        <f t="shared" si="9"/>
        <v>149412.23912208001</v>
      </c>
      <c r="K13" s="76">
        <f t="shared" si="9"/>
        <v>167614.87346940482</v>
      </c>
      <c r="L13" s="76">
        <f t="shared" si="9"/>
        <v>186909.66587756912</v>
      </c>
      <c r="M13" s="76">
        <f t="shared" si="9"/>
        <v>207362.14583022328</v>
      </c>
      <c r="N13" s="76">
        <f t="shared" si="9"/>
        <v>229041.7745800367</v>
      </c>
      <c r="O13" s="76">
        <f t="shared" si="9"/>
        <v>252022.1810548389</v>
      </c>
      <c r="P13" s="76">
        <f t="shared" si="9"/>
        <v>276381.41191812925</v>
      </c>
      <c r="Q13" s="76">
        <f t="shared" si="9"/>
        <v>302202.19663321704</v>
      </c>
      <c r="R13" s="76">
        <f t="shared" si="9"/>
        <v>329572.2284312101</v>
      </c>
      <c r="S13" s="76">
        <f t="shared" si="9"/>
        <v>358584.46213708271</v>
      </c>
      <c r="T13" s="76">
        <f t="shared" si="9"/>
        <v>389337.4298653077</v>
      </c>
      <c r="U13" s="76">
        <f t="shared" si="9"/>
        <v>421935.5756572262</v>
      </c>
      <c r="V13" s="77">
        <f>(+U13)*(1+$C$5)</f>
        <v>447251.71019665978</v>
      </c>
      <c r="W13" s="77">
        <f t="shared" si="5"/>
        <v>474086.81280845939</v>
      </c>
      <c r="X13" s="77">
        <f t="shared" si="5"/>
        <v>502532.02157696697</v>
      </c>
      <c r="Y13" s="77">
        <f t="shared" si="5"/>
        <v>532683.94287158502</v>
      </c>
      <c r="Z13" s="77">
        <f t="shared" si="5"/>
        <v>564644.97944388015</v>
      </c>
      <c r="AA13" s="77">
        <f t="shared" si="5"/>
        <v>598523.67821051297</v>
      </c>
      <c r="AB13" s="77">
        <f t="shared" si="5"/>
        <v>634435.09890314378</v>
      </c>
      <c r="AC13" s="77">
        <f t="shared" si="5"/>
        <v>672501.20483733248</v>
      </c>
      <c r="AD13" s="77">
        <f t="shared" si="5"/>
        <v>712851.27712757245</v>
      </c>
      <c r="AE13" s="77">
        <f t="shared" si="5"/>
        <v>755622.35375522682</v>
      </c>
      <c r="AF13" s="77">
        <f t="shared" si="5"/>
        <v>800959.69498054043</v>
      </c>
      <c r="AG13" s="77">
        <f t="shared" si="5"/>
        <v>849017.27667937288</v>
      </c>
      <c r="AH13" s="77">
        <f t="shared" si="5"/>
        <v>899958.31328013528</v>
      </c>
      <c r="AI13" s="77">
        <f t="shared" si="5"/>
        <v>953955.81207694346</v>
      </c>
      <c r="AJ13" s="77">
        <f t="shared" si="5"/>
        <v>1011193.1608015602</v>
      </c>
      <c r="AK13" s="77">
        <f t="shared" si="5"/>
        <v>1071864.7504496537</v>
      </c>
      <c r="AL13" s="77">
        <f t="shared" si="5"/>
        <v>1136176.635476633</v>
      </c>
      <c r="AM13" s="77">
        <f t="shared" si="5"/>
        <v>1204347.2336052309</v>
      </c>
      <c r="AN13" s="77">
        <f t="shared" si="5"/>
        <v>1276608.0676215449</v>
      </c>
      <c r="AO13" s="84">
        <f t="shared" si="5"/>
        <v>1353204.5516788377</v>
      </c>
    </row>
    <row r="14" spans="1:41" s="78" customFormat="1" ht="30">
      <c r="A14" s="129" t="str">
        <f>+'Balance Sheet'!A40</f>
        <v xml:space="preserve">  SCJ Wax - 401K Fund (Deferred Profit Sharing and Savings Plan)</v>
      </c>
      <c r="B14" s="129"/>
      <c r="C14" s="129"/>
      <c r="D14" s="129"/>
      <c r="E14" s="81" t="s">
        <v>125</v>
      </c>
      <c r="F14" s="83">
        <f>+'Balance Sheet'!G40</f>
        <v>469547.39</v>
      </c>
      <c r="G14" s="75">
        <f>15000+8645.83</f>
        <v>23645.83</v>
      </c>
      <c r="H14" s="76">
        <f t="shared" si="0"/>
        <v>522784.81320000003</v>
      </c>
      <c r="I14" s="76">
        <f>(+H14+$G14-H26)*(1+$C$5)</f>
        <v>579216.48179200012</v>
      </c>
      <c r="J14" s="76">
        <f t="shared" ref="J14:U14" si="10">(+I14+$G14-I26)*(1+$C$5)</f>
        <v>639034.05049952015</v>
      </c>
      <c r="K14" s="76">
        <f t="shared" si="10"/>
        <v>702440.6733294914</v>
      </c>
      <c r="L14" s="76">
        <f t="shared" si="10"/>
        <v>769651.69352926093</v>
      </c>
      <c r="M14" s="76">
        <f t="shared" si="10"/>
        <v>840895.37494101655</v>
      </c>
      <c r="N14" s="76">
        <f t="shared" si="10"/>
        <v>916413.6772374775</v>
      </c>
      <c r="O14" s="76">
        <f t="shared" si="10"/>
        <v>996463.07767172612</v>
      </c>
      <c r="P14" s="76">
        <f t="shared" si="10"/>
        <v>1081315.4421320297</v>
      </c>
      <c r="Q14" s="76">
        <f t="shared" si="10"/>
        <v>1171258.9484599517</v>
      </c>
      <c r="R14" s="76">
        <f t="shared" si="10"/>
        <v>1266599.0651675488</v>
      </c>
      <c r="S14" s="76">
        <f t="shared" si="10"/>
        <v>1367659.588877602</v>
      </c>
      <c r="T14" s="76">
        <f t="shared" si="10"/>
        <v>1474783.7440102582</v>
      </c>
      <c r="U14" s="76">
        <f t="shared" si="10"/>
        <v>1588335.348450874</v>
      </c>
      <c r="V14" s="77">
        <f>(+U14-U26)*(1+$C$5)</f>
        <v>1683635.4693579264</v>
      </c>
      <c r="W14" s="77">
        <f t="shared" ref="W14:AO14" si="11">(+V14-V26)*(1+$C$5)</f>
        <v>1678653.5975194022</v>
      </c>
      <c r="X14" s="77">
        <f t="shared" si="11"/>
        <v>1673372.8133705663</v>
      </c>
      <c r="Y14" s="77">
        <f t="shared" si="11"/>
        <v>1667775.1821728004</v>
      </c>
      <c r="Z14" s="77">
        <f t="shared" si="11"/>
        <v>1661841.6931031686</v>
      </c>
      <c r="AA14" s="77">
        <f t="shared" si="11"/>
        <v>1655552.1946893588</v>
      </c>
      <c r="AB14" s="77">
        <f t="shared" si="11"/>
        <v>1648885.3263707205</v>
      </c>
      <c r="AC14" s="77">
        <f t="shared" si="11"/>
        <v>1641818.4459529638</v>
      </c>
      <c r="AD14" s="77">
        <f t="shared" si="11"/>
        <v>1634327.5527101418</v>
      </c>
      <c r="AE14" s="77">
        <f t="shared" si="11"/>
        <v>1626387.2058727504</v>
      </c>
      <c r="AF14" s="77">
        <f t="shared" si="11"/>
        <v>1617970.4382251154</v>
      </c>
      <c r="AG14" s="77">
        <f t="shared" si="11"/>
        <v>1609048.6645186224</v>
      </c>
      <c r="AH14" s="77">
        <f t="shared" si="11"/>
        <v>1599591.5843897399</v>
      </c>
      <c r="AI14" s="77">
        <f t="shared" si="11"/>
        <v>1589567.0794531244</v>
      </c>
      <c r="AJ14" s="77">
        <f t="shared" si="11"/>
        <v>1578941.1042203121</v>
      </c>
      <c r="AK14" s="77">
        <f t="shared" si="11"/>
        <v>1567677.5704735308</v>
      </c>
      <c r="AL14" s="77">
        <f t="shared" si="11"/>
        <v>1555738.2247019426</v>
      </c>
      <c r="AM14" s="77">
        <f t="shared" si="11"/>
        <v>1543082.5181840593</v>
      </c>
      <c r="AN14" s="77">
        <f t="shared" si="11"/>
        <v>1529667.469275103</v>
      </c>
      <c r="AO14" s="84">
        <f t="shared" si="11"/>
        <v>1515447.5174316091</v>
      </c>
    </row>
    <row r="15" spans="1:41" s="78" customFormat="1">
      <c r="A15" s="129" t="str">
        <f>+'Balance Sheet'!A41</f>
        <v xml:space="preserve">  SCJ Wax - Cash Balance Pension Plan</v>
      </c>
      <c r="B15" s="129"/>
      <c r="C15" s="129"/>
      <c r="D15" s="129"/>
      <c r="E15" s="81"/>
      <c r="F15" s="83">
        <f>+'Balance Sheet'!G41</f>
        <v>121518.96</v>
      </c>
      <c r="G15" s="75">
        <v>0</v>
      </c>
      <c r="H15" s="76">
        <f t="shared" si="0"/>
        <v>128810.09760000001</v>
      </c>
      <c r="I15" s="76">
        <f t="shared" ref="I15:U15" si="12">(+H15+$G15)*(1+$C$5)</f>
        <v>136538.70345600002</v>
      </c>
      <c r="J15" s="76">
        <f t="shared" si="12"/>
        <v>144731.02566336002</v>
      </c>
      <c r="K15" s="76">
        <f t="shared" si="12"/>
        <v>153414.88720316163</v>
      </c>
      <c r="L15" s="76">
        <f t="shared" si="12"/>
        <v>162619.78043535133</v>
      </c>
      <c r="M15" s="76">
        <f t="shared" si="12"/>
        <v>172376.96726147243</v>
      </c>
      <c r="N15" s="76">
        <f t="shared" si="12"/>
        <v>182719.58529716078</v>
      </c>
      <c r="O15" s="76">
        <f t="shared" si="12"/>
        <v>193682.76041499045</v>
      </c>
      <c r="P15" s="76">
        <f t="shared" si="12"/>
        <v>205303.72603988988</v>
      </c>
      <c r="Q15" s="76">
        <f t="shared" si="12"/>
        <v>217621.94960228328</v>
      </c>
      <c r="R15" s="76">
        <f t="shared" si="12"/>
        <v>230679.26657842027</v>
      </c>
      <c r="S15" s="76">
        <f t="shared" si="12"/>
        <v>244520.02257312549</v>
      </c>
      <c r="T15" s="76">
        <f t="shared" si="12"/>
        <v>259191.22392751303</v>
      </c>
      <c r="U15" s="76">
        <f t="shared" si="12"/>
        <v>274742.69736316381</v>
      </c>
      <c r="V15" s="77">
        <f t="shared" ref="V15:V20" si="13">(+U15)*(1+$C$5)</f>
        <v>291227.25920495368</v>
      </c>
      <c r="W15" s="77">
        <f t="shared" si="5"/>
        <v>308700.89475725091</v>
      </c>
      <c r="X15" s="77">
        <f t="shared" si="5"/>
        <v>327222.948442686</v>
      </c>
      <c r="Y15" s="77">
        <f t="shared" si="5"/>
        <v>346856.3253492472</v>
      </c>
      <c r="Z15" s="77">
        <f t="shared" si="5"/>
        <v>367667.70487020205</v>
      </c>
      <c r="AA15" s="77">
        <f t="shared" si="5"/>
        <v>389727.76716241421</v>
      </c>
      <c r="AB15" s="77">
        <f t="shared" si="5"/>
        <v>413111.43319215911</v>
      </c>
      <c r="AC15" s="77">
        <f t="shared" si="5"/>
        <v>437898.11918368866</v>
      </c>
      <c r="AD15" s="77">
        <f t="shared" si="5"/>
        <v>464172.00633470999</v>
      </c>
      <c r="AE15" s="77">
        <f t="shared" si="5"/>
        <v>492022.32671479264</v>
      </c>
      <c r="AF15" s="77">
        <f t="shared" si="5"/>
        <v>521543.66631768021</v>
      </c>
      <c r="AG15" s="77">
        <f t="shared" si="5"/>
        <v>552836.28629674111</v>
      </c>
      <c r="AH15" s="77">
        <f t="shared" si="5"/>
        <v>586006.46347454563</v>
      </c>
      <c r="AI15" s="77">
        <f t="shared" si="5"/>
        <v>621166.85128301836</v>
      </c>
      <c r="AJ15" s="77">
        <f t="shared" si="5"/>
        <v>658436.86235999945</v>
      </c>
      <c r="AK15" s="77">
        <f t="shared" si="5"/>
        <v>697943.0741015994</v>
      </c>
      <c r="AL15" s="77">
        <f t="shared" si="5"/>
        <v>739819.65854769538</v>
      </c>
      <c r="AM15" s="77">
        <f t="shared" si="5"/>
        <v>784208.83806055714</v>
      </c>
      <c r="AN15" s="77">
        <f t="shared" si="5"/>
        <v>831261.36834419065</v>
      </c>
      <c r="AO15" s="84">
        <f t="shared" si="5"/>
        <v>881137.05044484208</v>
      </c>
    </row>
    <row r="16" spans="1:41" s="78" customFormat="1">
      <c r="A16" s="129" t="str">
        <f>+'Balance Sheet'!A42</f>
        <v xml:space="preserve">  SCJ Wax - Retirement Medical Savings Account</v>
      </c>
      <c r="B16" s="129"/>
      <c r="C16" s="129"/>
      <c r="D16" s="129"/>
      <c r="E16" s="81"/>
      <c r="F16" s="83">
        <f>+'Balance Sheet'!G42</f>
        <v>63807.67</v>
      </c>
      <c r="G16" s="75">
        <f>1000+400</f>
        <v>1400</v>
      </c>
      <c r="H16" s="76">
        <f t="shared" si="0"/>
        <v>69120.1302</v>
      </c>
      <c r="I16" s="76">
        <f t="shared" ref="I16:U16" si="14">(+H16+$G16)*(1+$C$5)</f>
        <v>74751.338012000007</v>
      </c>
      <c r="J16" s="76">
        <f t="shared" si="14"/>
        <v>80720.418292720016</v>
      </c>
      <c r="K16" s="76">
        <f t="shared" si="14"/>
        <v>87047.643390283221</v>
      </c>
      <c r="L16" s="76">
        <f t="shared" si="14"/>
        <v>93754.501993700222</v>
      </c>
      <c r="M16" s="76">
        <f t="shared" si="14"/>
        <v>100863.77211332224</v>
      </c>
      <c r="N16" s="76">
        <f t="shared" si="14"/>
        <v>108399.59844012158</v>
      </c>
      <c r="O16" s="76">
        <f t="shared" si="14"/>
        <v>116387.57434652888</v>
      </c>
      <c r="P16" s="76">
        <f t="shared" si="14"/>
        <v>124854.82880732062</v>
      </c>
      <c r="Q16" s="76">
        <f t="shared" si="14"/>
        <v>133830.11853575986</v>
      </c>
      <c r="R16" s="76">
        <f t="shared" si="14"/>
        <v>143343.92564790545</v>
      </c>
      <c r="S16" s="76">
        <f t="shared" si="14"/>
        <v>153428.56118677979</v>
      </c>
      <c r="T16" s="76">
        <f t="shared" si="14"/>
        <v>164118.27485798657</v>
      </c>
      <c r="U16" s="76">
        <f t="shared" si="14"/>
        <v>175449.37134946577</v>
      </c>
      <c r="V16" s="77">
        <f t="shared" si="13"/>
        <v>185976.33363043371</v>
      </c>
      <c r="W16" s="77">
        <f t="shared" si="5"/>
        <v>197134.91364825974</v>
      </c>
      <c r="X16" s="77">
        <f t="shared" si="5"/>
        <v>208963.00846715533</v>
      </c>
      <c r="Y16" s="77">
        <f t="shared" si="5"/>
        <v>221500.78897518467</v>
      </c>
      <c r="Z16" s="77">
        <f t="shared" si="5"/>
        <v>234790.83631369576</v>
      </c>
      <c r="AA16" s="77">
        <f t="shared" si="5"/>
        <v>248878.28649251751</v>
      </c>
      <c r="AB16" s="77">
        <f t="shared" si="5"/>
        <v>263810.98368206859</v>
      </c>
      <c r="AC16" s="77">
        <f t="shared" si="5"/>
        <v>279639.64270299271</v>
      </c>
      <c r="AD16" s="77">
        <f t="shared" si="5"/>
        <v>296418.02126517228</v>
      </c>
      <c r="AE16" s="77">
        <f t="shared" si="5"/>
        <v>314203.10254108266</v>
      </c>
      <c r="AF16" s="77">
        <f t="shared" si="5"/>
        <v>333055.28869354766</v>
      </c>
      <c r="AG16" s="77">
        <f t="shared" si="5"/>
        <v>353038.60601516051</v>
      </c>
      <c r="AH16" s="77">
        <f t="shared" si="5"/>
        <v>374220.92237607017</v>
      </c>
      <c r="AI16" s="77">
        <f t="shared" si="5"/>
        <v>396674.17771863443</v>
      </c>
      <c r="AJ16" s="77">
        <f t="shared" si="5"/>
        <v>420474.62838175253</v>
      </c>
      <c r="AK16" s="77">
        <f t="shared" si="5"/>
        <v>445703.10608465772</v>
      </c>
      <c r="AL16" s="77">
        <f t="shared" si="5"/>
        <v>472445.2924497372</v>
      </c>
      <c r="AM16" s="77">
        <f t="shared" si="5"/>
        <v>500792.00999672146</v>
      </c>
      <c r="AN16" s="77">
        <f t="shared" si="5"/>
        <v>530839.53059652483</v>
      </c>
      <c r="AO16" s="84">
        <f t="shared" si="5"/>
        <v>562689.90243231633</v>
      </c>
    </row>
    <row r="17" spans="1:42" s="78" customFormat="1">
      <c r="A17" s="129" t="str">
        <f>+'Balance Sheet'!A43</f>
        <v xml:space="preserve">  Johnson International - 401K Fund</v>
      </c>
      <c r="B17" s="129"/>
      <c r="C17" s="129"/>
      <c r="D17" s="129"/>
      <c r="E17" s="81"/>
      <c r="F17" s="83">
        <f>+'Balance Sheet'!G43</f>
        <v>40277.49</v>
      </c>
      <c r="G17" s="75">
        <v>0</v>
      </c>
      <c r="H17" s="76">
        <f t="shared" si="0"/>
        <v>42694.1394</v>
      </c>
      <c r="I17" s="76">
        <f t="shared" ref="I17:U17" si="15">(+H17+$G17)*(1+$C$5)</f>
        <v>45255.787764000001</v>
      </c>
      <c r="J17" s="76">
        <f t="shared" si="15"/>
        <v>47971.135029840007</v>
      </c>
      <c r="K17" s="76">
        <f t="shared" si="15"/>
        <v>50849.40313163041</v>
      </c>
      <c r="L17" s="76">
        <f t="shared" si="15"/>
        <v>53900.367319528239</v>
      </c>
      <c r="M17" s="76">
        <f t="shared" si="15"/>
        <v>57134.389358699933</v>
      </c>
      <c r="N17" s="76">
        <f t="shared" si="15"/>
        <v>60562.452720221932</v>
      </c>
      <c r="O17" s="76">
        <f t="shared" si="15"/>
        <v>64196.199883435249</v>
      </c>
      <c r="P17" s="76">
        <f t="shared" si="15"/>
        <v>68047.97187644137</v>
      </c>
      <c r="Q17" s="76">
        <f t="shared" si="15"/>
        <v>72130.850189027857</v>
      </c>
      <c r="R17" s="76">
        <f t="shared" si="15"/>
        <v>76458.701200369527</v>
      </c>
      <c r="S17" s="76">
        <f t="shared" si="15"/>
        <v>81046.223272391697</v>
      </c>
      <c r="T17" s="76">
        <f t="shared" si="15"/>
        <v>85908.996668735199</v>
      </c>
      <c r="U17" s="76">
        <f t="shared" si="15"/>
        <v>91063.536468859311</v>
      </c>
      <c r="V17" s="77">
        <f t="shared" si="13"/>
        <v>96527.348656990871</v>
      </c>
      <c r="W17" s="77">
        <f t="shared" si="5"/>
        <v>102318.98957641033</v>
      </c>
      <c r="X17" s="77">
        <f t="shared" si="5"/>
        <v>108458.12895099496</v>
      </c>
      <c r="Y17" s="77">
        <f t="shared" si="5"/>
        <v>114965.61668805467</v>
      </c>
      <c r="Z17" s="77">
        <f t="shared" si="5"/>
        <v>121863.55368933795</v>
      </c>
      <c r="AA17" s="77">
        <f t="shared" si="5"/>
        <v>129175.36691069823</v>
      </c>
      <c r="AB17" s="77">
        <f t="shared" si="5"/>
        <v>136925.88892534011</v>
      </c>
      <c r="AC17" s="77">
        <f t="shared" si="5"/>
        <v>145141.44226086052</v>
      </c>
      <c r="AD17" s="77">
        <f t="shared" si="5"/>
        <v>153849.92879651216</v>
      </c>
      <c r="AE17" s="77">
        <f t="shared" si="5"/>
        <v>163080.92452430291</v>
      </c>
      <c r="AF17" s="77">
        <f t="shared" si="5"/>
        <v>172865.77999576108</v>
      </c>
      <c r="AG17" s="77">
        <f t="shared" si="5"/>
        <v>183237.72679550675</v>
      </c>
      <c r="AH17" s="77">
        <f t="shared" si="5"/>
        <v>194231.99040323717</v>
      </c>
      <c r="AI17" s="77">
        <f t="shared" si="5"/>
        <v>205885.9098274314</v>
      </c>
      <c r="AJ17" s="77">
        <f t="shared" si="5"/>
        <v>218239.06441707729</v>
      </c>
      <c r="AK17" s="77">
        <f t="shared" si="5"/>
        <v>231333.40828210194</v>
      </c>
      <c r="AL17" s="77">
        <f t="shared" si="5"/>
        <v>245213.41277902806</v>
      </c>
      <c r="AM17" s="77">
        <f t="shared" si="5"/>
        <v>259926.21754576976</v>
      </c>
      <c r="AN17" s="77">
        <f t="shared" si="5"/>
        <v>275521.79059851595</v>
      </c>
      <c r="AO17" s="84">
        <f t="shared" si="5"/>
        <v>292053.09803442692</v>
      </c>
    </row>
    <row r="18" spans="1:42" s="78" customFormat="1">
      <c r="A18" s="129" t="str">
        <f>+'Balance Sheet'!A47</f>
        <v xml:space="preserve">  Excelon (859.878 Shares @ $51.61)</v>
      </c>
      <c r="B18" s="129"/>
      <c r="C18" s="129"/>
      <c r="D18" s="129"/>
      <c r="E18" s="81"/>
      <c r="F18" s="83">
        <f>+'Balance Sheet'!G47</f>
        <v>44378.30358</v>
      </c>
      <c r="G18" s="75">
        <v>0</v>
      </c>
      <c r="H18" s="76">
        <f t="shared" si="0"/>
        <v>47041.001794800002</v>
      </c>
      <c r="I18" s="76">
        <f t="shared" ref="I18:U18" si="16">(+H18+$G18)*(1+$C$5)</f>
        <v>49863.461902488008</v>
      </c>
      <c r="J18" s="76">
        <f t="shared" si="16"/>
        <v>52855.269616637292</v>
      </c>
      <c r="K18" s="76">
        <f t="shared" si="16"/>
        <v>56026.585793635531</v>
      </c>
      <c r="L18" s="76">
        <f t="shared" si="16"/>
        <v>59388.180941253668</v>
      </c>
      <c r="M18" s="76">
        <f t="shared" si="16"/>
        <v>62951.471797728889</v>
      </c>
      <c r="N18" s="76">
        <f t="shared" si="16"/>
        <v>66728.560105592624</v>
      </c>
      <c r="O18" s="76">
        <f t="shared" si="16"/>
        <v>70732.273711928181</v>
      </c>
      <c r="P18" s="76">
        <f t="shared" si="16"/>
        <v>74976.210134643872</v>
      </c>
      <c r="Q18" s="76">
        <f t="shared" si="16"/>
        <v>79474.782742722513</v>
      </c>
      <c r="R18" s="76">
        <f t="shared" si="16"/>
        <v>84243.269707285872</v>
      </c>
      <c r="S18" s="76">
        <f t="shared" si="16"/>
        <v>89297.865889723034</v>
      </c>
      <c r="T18" s="76">
        <f t="shared" si="16"/>
        <v>94655.737843106428</v>
      </c>
      <c r="U18" s="76">
        <f t="shared" si="16"/>
        <v>100335.08211369281</v>
      </c>
      <c r="V18" s="77">
        <f t="shared" si="13"/>
        <v>106355.18704051439</v>
      </c>
      <c r="W18" s="77">
        <f t="shared" si="5"/>
        <v>112736.49826294526</v>
      </c>
      <c r="X18" s="77">
        <f t="shared" si="5"/>
        <v>119500.68815872198</v>
      </c>
      <c r="Y18" s="77">
        <f t="shared" si="5"/>
        <v>126670.72944824531</v>
      </c>
      <c r="Z18" s="77">
        <f t="shared" si="5"/>
        <v>134270.97321514005</v>
      </c>
      <c r="AA18" s="77">
        <f t="shared" si="5"/>
        <v>142327.23160804846</v>
      </c>
      <c r="AB18" s="77">
        <f t="shared" si="5"/>
        <v>150866.86550453136</v>
      </c>
      <c r="AC18" s="77">
        <f t="shared" si="5"/>
        <v>159918.87743480326</v>
      </c>
      <c r="AD18" s="77">
        <f t="shared" si="5"/>
        <v>169514.01008089146</v>
      </c>
      <c r="AE18" s="77">
        <f t="shared" si="5"/>
        <v>179684.85068574495</v>
      </c>
      <c r="AF18" s="77">
        <f t="shared" si="5"/>
        <v>190465.94172688967</v>
      </c>
      <c r="AG18" s="77">
        <f t="shared" si="5"/>
        <v>201893.89823050305</v>
      </c>
      <c r="AH18" s="77">
        <f t="shared" si="5"/>
        <v>214007.53212433326</v>
      </c>
      <c r="AI18" s="77">
        <f t="shared" si="5"/>
        <v>226847.98405179326</v>
      </c>
      <c r="AJ18" s="77">
        <f t="shared" si="5"/>
        <v>240458.86309490088</v>
      </c>
      <c r="AK18" s="77">
        <f t="shared" si="5"/>
        <v>254886.39488059495</v>
      </c>
      <c r="AL18" s="77">
        <f t="shared" si="5"/>
        <v>270179.57857343066</v>
      </c>
      <c r="AM18" s="77">
        <f t="shared" si="5"/>
        <v>286390.35328783654</v>
      </c>
      <c r="AN18" s="77">
        <f t="shared" si="5"/>
        <v>303573.77448510675</v>
      </c>
      <c r="AO18" s="84">
        <f t="shared" si="5"/>
        <v>321788.20095421316</v>
      </c>
    </row>
    <row r="19" spans="1:42" s="78" customFormat="1" ht="37.5" customHeight="1">
      <c r="A19" s="129" t="str">
        <f>+'Balance Sheet'!A48</f>
        <v xml:space="preserve">  Growth Fund of America - American Funds (43.913 Shares @ $27.33)</v>
      </c>
      <c r="B19" s="129"/>
      <c r="C19" s="129"/>
      <c r="D19" s="129"/>
      <c r="E19" s="81"/>
      <c r="F19" s="83">
        <f>+'Balance Sheet'!G48</f>
        <v>1347.52</v>
      </c>
      <c r="G19" s="75">
        <v>0</v>
      </c>
      <c r="H19" s="76">
        <f t="shared" si="0"/>
        <v>1428.3712</v>
      </c>
      <c r="I19" s="76">
        <f t="shared" ref="I19:U19" si="17">(+H19+$G19)*(1+$C$5)</f>
        <v>1514.073472</v>
      </c>
      <c r="J19" s="76">
        <f t="shared" si="17"/>
        <v>1604.9178803200002</v>
      </c>
      <c r="K19" s="76">
        <f t="shared" si="17"/>
        <v>1701.2129531392004</v>
      </c>
      <c r="L19" s="76">
        <f t="shared" si="17"/>
        <v>1803.2857303275525</v>
      </c>
      <c r="M19" s="76">
        <f t="shared" si="17"/>
        <v>1911.4828741472058</v>
      </c>
      <c r="N19" s="76">
        <f t="shared" si="17"/>
        <v>2026.1718465960382</v>
      </c>
      <c r="O19" s="76">
        <f t="shared" si="17"/>
        <v>2147.7421573918004</v>
      </c>
      <c r="P19" s="76">
        <f t="shared" si="17"/>
        <v>2276.6066868353087</v>
      </c>
      <c r="Q19" s="76">
        <f t="shared" si="17"/>
        <v>2413.2030880454272</v>
      </c>
      <c r="R19" s="76">
        <f t="shared" si="17"/>
        <v>2557.995273328153</v>
      </c>
      <c r="S19" s="76">
        <f t="shared" si="17"/>
        <v>2711.4749897278421</v>
      </c>
      <c r="T19" s="76">
        <f t="shared" si="17"/>
        <v>2874.1634891115127</v>
      </c>
      <c r="U19" s="76">
        <f t="shared" si="17"/>
        <v>3046.6132984582036</v>
      </c>
      <c r="V19" s="77">
        <f t="shared" si="13"/>
        <v>3229.4100963656961</v>
      </c>
      <c r="W19" s="77">
        <f t="shared" si="5"/>
        <v>3423.1747021476381</v>
      </c>
      <c r="X19" s="77">
        <f t="shared" si="5"/>
        <v>3628.5651842764964</v>
      </c>
      <c r="Y19" s="77">
        <f t="shared" si="5"/>
        <v>3846.2790953330864</v>
      </c>
      <c r="Z19" s="77">
        <f t="shared" si="5"/>
        <v>4077.0558410530716</v>
      </c>
      <c r="AA19" s="77">
        <f t="shared" si="5"/>
        <v>4321.6791915162557</v>
      </c>
      <c r="AB19" s="77">
        <f t="shared" si="5"/>
        <v>4580.9799430072317</v>
      </c>
      <c r="AC19" s="77">
        <f t="shared" si="5"/>
        <v>4855.8387395876662</v>
      </c>
      <c r="AD19" s="77">
        <f t="shared" si="5"/>
        <v>5147.1890639629264</v>
      </c>
      <c r="AE19" s="77">
        <f t="shared" si="5"/>
        <v>5456.0204078007018</v>
      </c>
      <c r="AF19" s="77">
        <f t="shared" si="5"/>
        <v>5783.3816322687444</v>
      </c>
      <c r="AG19" s="77">
        <f t="shared" si="5"/>
        <v>6130.3845302048694</v>
      </c>
      <c r="AH19" s="77">
        <f t="shared" si="5"/>
        <v>6498.2076020171617</v>
      </c>
      <c r="AI19" s="77">
        <f t="shared" si="5"/>
        <v>6888.1000581381913</v>
      </c>
      <c r="AJ19" s="77">
        <f t="shared" si="5"/>
        <v>7301.3860616264828</v>
      </c>
      <c r="AK19" s="77">
        <f t="shared" si="5"/>
        <v>7739.4692253240719</v>
      </c>
      <c r="AL19" s="77">
        <f t="shared" si="5"/>
        <v>8203.8373788435165</v>
      </c>
      <c r="AM19" s="77">
        <f t="shared" si="5"/>
        <v>8696.0676215741278</v>
      </c>
      <c r="AN19" s="77">
        <f t="shared" si="5"/>
        <v>9217.8316788685752</v>
      </c>
      <c r="AO19" s="84">
        <f t="shared" si="5"/>
        <v>9770.9015796006897</v>
      </c>
    </row>
    <row r="20" spans="1:42" s="78" customFormat="1" ht="37.5" customHeight="1">
      <c r="A20" s="129" t="str">
        <f>+'Balance Sheet'!A49</f>
        <v xml:space="preserve">  Income Fund of America - American Funds (181.508 Shares @ $25.95)</v>
      </c>
      <c r="B20" s="129"/>
      <c r="C20" s="129"/>
      <c r="D20" s="129"/>
      <c r="E20" s="81"/>
      <c r="F20" s="83">
        <f>+'Balance Sheet'!G49</f>
        <v>5221.54</v>
      </c>
      <c r="G20" s="75">
        <v>0</v>
      </c>
      <c r="H20" s="76">
        <f t="shared" si="0"/>
        <v>5534.8324000000002</v>
      </c>
      <c r="I20" s="76">
        <f t="shared" ref="I20:U20" si="18">(+H20+$G20)*(1+$C$5)</f>
        <v>5866.9223440000005</v>
      </c>
      <c r="J20" s="76">
        <f t="shared" si="18"/>
        <v>6218.937684640001</v>
      </c>
      <c r="K20" s="76">
        <f t="shared" si="18"/>
        <v>6592.0739457184018</v>
      </c>
      <c r="L20" s="76">
        <f t="shared" si="18"/>
        <v>6987.5983824615059</v>
      </c>
      <c r="M20" s="76">
        <f t="shared" si="18"/>
        <v>7406.8542854091966</v>
      </c>
      <c r="N20" s="76">
        <f t="shared" si="18"/>
        <v>7851.2655425337489</v>
      </c>
      <c r="O20" s="76">
        <f t="shared" si="18"/>
        <v>8322.3414750857737</v>
      </c>
      <c r="P20" s="76">
        <f t="shared" si="18"/>
        <v>8821.6819635909214</v>
      </c>
      <c r="Q20" s="76">
        <f t="shared" si="18"/>
        <v>9350.9828814063767</v>
      </c>
      <c r="R20" s="76">
        <f t="shared" si="18"/>
        <v>9912.0418542907591</v>
      </c>
      <c r="S20" s="76">
        <f t="shared" si="18"/>
        <v>10506.764365548206</v>
      </c>
      <c r="T20" s="76">
        <f t="shared" si="18"/>
        <v>11137.1702274811</v>
      </c>
      <c r="U20" s="76">
        <f t="shared" si="18"/>
        <v>11805.400441129967</v>
      </c>
      <c r="V20" s="77">
        <f t="shared" si="13"/>
        <v>12513.724467597765</v>
      </c>
      <c r="W20" s="77">
        <f t="shared" si="5"/>
        <v>13264.547935653633</v>
      </c>
      <c r="X20" s="77">
        <f t="shared" si="5"/>
        <v>14060.420811792852</v>
      </c>
      <c r="Y20" s="77">
        <f t="shared" si="5"/>
        <v>14904.046060500425</v>
      </c>
      <c r="Z20" s="77">
        <f t="shared" si="5"/>
        <v>15798.28882413045</v>
      </c>
      <c r="AA20" s="77">
        <f t="shared" si="5"/>
        <v>16746.186153578277</v>
      </c>
      <c r="AB20" s="77">
        <f t="shared" si="5"/>
        <v>17750.957322792976</v>
      </c>
      <c r="AC20" s="77">
        <f t="shared" si="5"/>
        <v>18816.014762160554</v>
      </c>
      <c r="AD20" s="77">
        <f t="shared" si="5"/>
        <v>19944.975647890187</v>
      </c>
      <c r="AE20" s="77">
        <f t="shared" si="5"/>
        <v>21141.674186763601</v>
      </c>
      <c r="AF20" s="77">
        <f t="shared" si="5"/>
        <v>22410.17463796942</v>
      </c>
      <c r="AG20" s="77">
        <f t="shared" si="5"/>
        <v>23754.785116247585</v>
      </c>
      <c r="AH20" s="77">
        <f t="shared" si="5"/>
        <v>25180.072223222443</v>
      </c>
      <c r="AI20" s="77">
        <f t="shared" si="5"/>
        <v>26690.876556615793</v>
      </c>
      <c r="AJ20" s="77">
        <f t="shared" si="5"/>
        <v>28292.329150012742</v>
      </c>
      <c r="AK20" s="77">
        <f t="shared" si="5"/>
        <v>29989.868899013509</v>
      </c>
      <c r="AL20" s="77">
        <f t="shared" si="5"/>
        <v>31789.26103295432</v>
      </c>
      <c r="AM20" s="77">
        <f t="shared" si="5"/>
        <v>33696.616694931581</v>
      </c>
      <c r="AN20" s="77">
        <f t="shared" si="5"/>
        <v>35718.413696627475</v>
      </c>
      <c r="AO20" s="84">
        <f t="shared" si="5"/>
        <v>37861.518518425124</v>
      </c>
    </row>
    <row r="21" spans="1:42" s="42" customFormat="1" ht="15.75">
      <c r="A21" s="42" t="s">
        <v>105</v>
      </c>
      <c r="E21" s="50"/>
      <c r="F21" s="54">
        <f>+SUM(F9:F20)</f>
        <v>1012702.8035800001</v>
      </c>
      <c r="G21" s="55">
        <f t="shared" ref="G21:V21" si="19">+SUM(G9:G20)</f>
        <v>39760.83</v>
      </c>
      <c r="H21" s="56">
        <f t="shared" si="19"/>
        <v>1115611.4515947998</v>
      </c>
      <c r="I21" s="56">
        <f t="shared" si="19"/>
        <v>1224694.6184904883</v>
      </c>
      <c r="J21" s="56">
        <f t="shared" si="19"/>
        <v>1340322.7753999177</v>
      </c>
      <c r="K21" s="56">
        <f t="shared" si="19"/>
        <v>1462888.6217239127</v>
      </c>
      <c r="L21" s="56">
        <f t="shared" si="19"/>
        <v>1592808.4188273477</v>
      </c>
      <c r="M21" s="56">
        <f t="shared" si="19"/>
        <v>1730523.4037569885</v>
      </c>
      <c r="N21" s="56">
        <f t="shared" si="19"/>
        <v>1844701.2877824076</v>
      </c>
      <c r="O21" s="56">
        <f t="shared" si="19"/>
        <v>1965729.8448493518</v>
      </c>
      <c r="P21" s="56">
        <f t="shared" si="19"/>
        <v>2094020.1153403134</v>
      </c>
      <c r="Q21" s="56">
        <f t="shared" si="19"/>
        <v>2230007.8020607326</v>
      </c>
      <c r="R21" s="56">
        <f t="shared" si="19"/>
        <v>2405954.7499843761</v>
      </c>
      <c r="S21" s="56">
        <f t="shared" si="19"/>
        <v>2592458.5147834392</v>
      </c>
      <c r="T21" s="56">
        <f t="shared" si="19"/>
        <v>2790152.5054704463</v>
      </c>
      <c r="U21" s="57">
        <f t="shared" si="19"/>
        <v>2967908.135598673</v>
      </c>
      <c r="V21" s="58">
        <f t="shared" si="19"/>
        <v>3114182.6237345939</v>
      </c>
      <c r="W21" s="58">
        <f t="shared" ref="W21:AO21" si="20">+SUM(W9:W20)</f>
        <v>3163233.5811586687</v>
      </c>
      <c r="X21" s="58">
        <f t="shared" si="20"/>
        <v>3215227.5960281896</v>
      </c>
      <c r="Y21" s="58">
        <f t="shared" si="20"/>
        <v>3302141.2517898805</v>
      </c>
      <c r="Z21" s="58">
        <f t="shared" si="20"/>
        <v>3394269.7268972732</v>
      </c>
      <c r="AA21" s="58">
        <f t="shared" si="20"/>
        <v>3491925.9105111109</v>
      </c>
      <c r="AB21" s="58">
        <f t="shared" si="20"/>
        <v>3595441.4651417774</v>
      </c>
      <c r="AC21" s="58">
        <f t="shared" si="20"/>
        <v>3705167.9530502837</v>
      </c>
      <c r="AD21" s="58">
        <f t="shared" si="20"/>
        <v>3821478.0302333017</v>
      </c>
      <c r="AE21" s="58">
        <f t="shared" si="20"/>
        <v>3944766.7120473003</v>
      </c>
      <c r="AF21" s="58">
        <f t="shared" si="20"/>
        <v>4075452.7147701383</v>
      </c>
      <c r="AG21" s="58">
        <f t="shared" si="20"/>
        <v>4213979.8776563471</v>
      </c>
      <c r="AH21" s="58">
        <f t="shared" si="20"/>
        <v>4313118.6703157285</v>
      </c>
      <c r="AI21" s="58">
        <f t="shared" si="20"/>
        <v>4465905.7905346705</v>
      </c>
      <c r="AJ21" s="58">
        <f t="shared" si="20"/>
        <v>4627860.1379667521</v>
      </c>
      <c r="AK21" s="58">
        <f t="shared" si="20"/>
        <v>4799531.7462447574</v>
      </c>
      <c r="AL21" s="58">
        <f t="shared" si="20"/>
        <v>4981503.6510194428</v>
      </c>
      <c r="AM21" s="58">
        <f t="shared" si="20"/>
        <v>5100193.8700806098</v>
      </c>
      <c r="AN21" s="58">
        <f t="shared" si="20"/>
        <v>5300205.502285446</v>
      </c>
      <c r="AO21" s="85">
        <f t="shared" si="20"/>
        <v>5512217.8324225731</v>
      </c>
    </row>
    <row r="22" spans="1:42"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</row>
    <row r="23" spans="1:42" ht="15.75">
      <c r="A23" s="42" t="s">
        <v>103</v>
      </c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86" t="s">
        <v>78</v>
      </c>
    </row>
    <row r="24" spans="1:42" ht="15.75">
      <c r="A24" s="5" t="s">
        <v>123</v>
      </c>
      <c r="F24" s="72"/>
      <c r="G24" s="72"/>
      <c r="H24" s="69"/>
      <c r="I24" s="60"/>
      <c r="J24" s="60"/>
      <c r="K24" s="60"/>
      <c r="L24" s="60"/>
      <c r="M24" s="60">
        <v>30000</v>
      </c>
      <c r="N24" s="60">
        <v>30000</v>
      </c>
      <c r="O24" s="60">
        <v>30000</v>
      </c>
      <c r="P24" s="60">
        <v>30000</v>
      </c>
      <c r="Q24" s="60"/>
      <c r="R24" s="60"/>
      <c r="S24" s="60"/>
      <c r="T24" s="60"/>
      <c r="U24" s="69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>
        <v>45000</v>
      </c>
      <c r="AH24" s="61"/>
      <c r="AI24" s="61"/>
      <c r="AJ24" s="61"/>
      <c r="AK24" s="61"/>
      <c r="AL24" s="61"/>
      <c r="AM24" s="61"/>
      <c r="AN24" s="61"/>
      <c r="AO24" s="62"/>
      <c r="AP24" s="88">
        <f>SUM(H24:AO24)</f>
        <v>165000</v>
      </c>
    </row>
    <row r="25" spans="1:42" ht="15.75">
      <c r="A25" s="5" t="s">
        <v>124</v>
      </c>
      <c r="F25" s="72"/>
      <c r="G25" s="72"/>
      <c r="H25" s="70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>
        <v>30000</v>
      </c>
      <c r="U25" s="70">
        <v>30000</v>
      </c>
      <c r="V25" s="63">
        <v>30000</v>
      </c>
      <c r="W25" s="63">
        <v>30000</v>
      </c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>
        <v>70000</v>
      </c>
      <c r="AM25" s="64"/>
      <c r="AN25" s="64"/>
      <c r="AO25" s="65"/>
      <c r="AP25" s="89">
        <f>SUM(H25:AO25)</f>
        <v>190000</v>
      </c>
    </row>
    <row r="26" spans="1:42" ht="15.75">
      <c r="A26" s="5" t="s">
        <v>104</v>
      </c>
      <c r="F26" s="72"/>
      <c r="G26" s="72"/>
      <c r="H26" s="70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70"/>
      <c r="V26" s="64">
        <v>100000</v>
      </c>
      <c r="W26" s="64">
        <v>100000</v>
      </c>
      <c r="X26" s="64">
        <v>100000</v>
      </c>
      <c r="Y26" s="64">
        <v>100000</v>
      </c>
      <c r="Z26" s="64">
        <v>100000</v>
      </c>
      <c r="AA26" s="64">
        <v>100000</v>
      </c>
      <c r="AB26" s="64">
        <v>100000</v>
      </c>
      <c r="AC26" s="64">
        <v>100000</v>
      </c>
      <c r="AD26" s="64">
        <v>100000</v>
      </c>
      <c r="AE26" s="64">
        <v>100000</v>
      </c>
      <c r="AF26" s="64">
        <v>100000</v>
      </c>
      <c r="AG26" s="64">
        <v>100000</v>
      </c>
      <c r="AH26" s="64">
        <v>100000</v>
      </c>
      <c r="AI26" s="64">
        <v>100000</v>
      </c>
      <c r="AJ26" s="64">
        <v>100000</v>
      </c>
      <c r="AK26" s="64">
        <v>100000</v>
      </c>
      <c r="AL26" s="64">
        <v>100000</v>
      </c>
      <c r="AM26" s="64">
        <v>100000</v>
      </c>
      <c r="AN26" s="64">
        <v>100000</v>
      </c>
      <c r="AO26" s="68">
        <v>100000</v>
      </c>
      <c r="AP26" s="89">
        <f>SUM(H26:AO26)</f>
        <v>2000000</v>
      </c>
    </row>
    <row r="27" spans="1:42" ht="15.75">
      <c r="A27" s="42" t="s">
        <v>120</v>
      </c>
      <c r="F27" s="73"/>
      <c r="G27" s="73"/>
      <c r="H27" s="71">
        <f t="shared" ref="H27:AP27" si="21">SUM(H24:H26)</f>
        <v>0</v>
      </c>
      <c r="I27" s="58">
        <f t="shared" si="21"/>
        <v>0</v>
      </c>
      <c r="J27" s="58">
        <f t="shared" si="21"/>
        <v>0</v>
      </c>
      <c r="K27" s="58">
        <f t="shared" si="21"/>
        <v>0</v>
      </c>
      <c r="L27" s="58">
        <f t="shared" si="21"/>
        <v>0</v>
      </c>
      <c r="M27" s="58">
        <f t="shared" si="21"/>
        <v>30000</v>
      </c>
      <c r="N27" s="58">
        <f t="shared" si="21"/>
        <v>30000</v>
      </c>
      <c r="O27" s="58">
        <f t="shared" si="21"/>
        <v>30000</v>
      </c>
      <c r="P27" s="58">
        <f t="shared" si="21"/>
        <v>30000</v>
      </c>
      <c r="Q27" s="58">
        <f t="shared" si="21"/>
        <v>0</v>
      </c>
      <c r="R27" s="58">
        <f t="shared" si="21"/>
        <v>0</v>
      </c>
      <c r="S27" s="58">
        <f t="shared" si="21"/>
        <v>0</v>
      </c>
      <c r="T27" s="58">
        <f t="shared" si="21"/>
        <v>30000</v>
      </c>
      <c r="U27" s="71">
        <f t="shared" si="21"/>
        <v>30000</v>
      </c>
      <c r="V27" s="66">
        <f t="shared" si="21"/>
        <v>130000</v>
      </c>
      <c r="W27" s="66">
        <f t="shared" si="21"/>
        <v>130000</v>
      </c>
      <c r="X27" s="66">
        <f t="shared" si="21"/>
        <v>100000</v>
      </c>
      <c r="Y27" s="66">
        <f t="shared" si="21"/>
        <v>100000</v>
      </c>
      <c r="Z27" s="66">
        <f t="shared" si="21"/>
        <v>100000</v>
      </c>
      <c r="AA27" s="66">
        <f t="shared" si="21"/>
        <v>100000</v>
      </c>
      <c r="AB27" s="66">
        <f t="shared" si="21"/>
        <v>100000</v>
      </c>
      <c r="AC27" s="66">
        <f t="shared" si="21"/>
        <v>100000</v>
      </c>
      <c r="AD27" s="66">
        <f t="shared" si="21"/>
        <v>100000</v>
      </c>
      <c r="AE27" s="66">
        <f t="shared" si="21"/>
        <v>100000</v>
      </c>
      <c r="AF27" s="66">
        <f t="shared" si="21"/>
        <v>100000</v>
      </c>
      <c r="AG27" s="66">
        <f t="shared" si="21"/>
        <v>145000</v>
      </c>
      <c r="AH27" s="66">
        <f t="shared" si="21"/>
        <v>100000</v>
      </c>
      <c r="AI27" s="66">
        <f t="shared" si="21"/>
        <v>100000</v>
      </c>
      <c r="AJ27" s="66">
        <f t="shared" si="21"/>
        <v>100000</v>
      </c>
      <c r="AK27" s="66">
        <f t="shared" si="21"/>
        <v>100000</v>
      </c>
      <c r="AL27" s="66">
        <f t="shared" si="21"/>
        <v>170000</v>
      </c>
      <c r="AM27" s="66">
        <f t="shared" si="21"/>
        <v>100000</v>
      </c>
      <c r="AN27" s="66">
        <f t="shared" si="21"/>
        <v>100000</v>
      </c>
      <c r="AO27" s="67">
        <f t="shared" si="21"/>
        <v>100000</v>
      </c>
      <c r="AP27" s="87">
        <f t="shared" si="21"/>
        <v>2355000</v>
      </c>
    </row>
    <row r="28" spans="1:42">
      <c r="F28" s="74"/>
      <c r="G28" s="74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9"/>
      <c r="W28" s="49"/>
      <c r="X28" s="49"/>
    </row>
    <row r="29" spans="1:42">
      <c r="F29" s="8"/>
      <c r="G29" s="8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9"/>
      <c r="W29" s="49"/>
      <c r="X29" s="49"/>
    </row>
    <row r="30" spans="1:42">
      <c r="F30" s="8"/>
      <c r="G30" s="8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9"/>
      <c r="W30" s="49"/>
      <c r="X30" s="49"/>
    </row>
    <row r="31" spans="1:42">
      <c r="F31" s="33"/>
      <c r="G31" s="8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</sheetData>
  <mergeCells count="15">
    <mergeCell ref="A19:D19"/>
    <mergeCell ref="A20:D20"/>
    <mergeCell ref="A8:D8"/>
    <mergeCell ref="A1:AO1"/>
    <mergeCell ref="A2:AO2"/>
    <mergeCell ref="A15:D15"/>
    <mergeCell ref="A16:D16"/>
    <mergeCell ref="A17:D17"/>
    <mergeCell ref="A18:D18"/>
    <mergeCell ref="A11:D11"/>
    <mergeCell ref="A12:D12"/>
    <mergeCell ref="A13:D13"/>
    <mergeCell ref="A14:D14"/>
    <mergeCell ref="A9:D9"/>
    <mergeCell ref="A10:D10"/>
  </mergeCells>
  <phoneticPr fontId="9" type="noConversion"/>
  <printOptions horizontalCentered="1" verticalCentered="1"/>
  <pageMargins left="0" right="0" top="0" bottom="0" header="0.5" footer="0.5"/>
  <pageSetup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Budget</vt:lpstr>
      <vt:lpstr>Balance Sheet</vt:lpstr>
      <vt:lpstr>Notes</vt:lpstr>
      <vt:lpstr>Projection</vt:lpstr>
      <vt:lpstr>Projection!BALANCE</vt:lpstr>
      <vt:lpstr>BALANCE</vt:lpstr>
      <vt:lpstr>NOTES</vt:lpstr>
      <vt:lpstr>Projection!Print_Area</vt:lpstr>
      <vt:lpstr>Print_Area</vt:lpstr>
    </vt:vector>
  </TitlesOfParts>
  <Company>S.C. Johnson Wax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Jacobson</dc:creator>
  <cp:lastModifiedBy>Dawn</cp:lastModifiedBy>
  <cp:lastPrinted>2008-05-19T18:29:20Z</cp:lastPrinted>
  <dcterms:created xsi:type="dcterms:W3CDTF">2000-01-14T23:39:04Z</dcterms:created>
  <dcterms:modified xsi:type="dcterms:W3CDTF">2012-01-28T20:32:41Z</dcterms:modified>
</cp:coreProperties>
</file>