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1325" windowHeight="6030" activeTab="1"/>
  </bookViews>
  <sheets>
    <sheet name="Budget" sheetId="4" r:id="rId1"/>
    <sheet name="Balance Sheet" sheetId="1" r:id="rId2"/>
    <sheet name="Notes" sheetId="2" r:id="rId3"/>
    <sheet name="Projection" sheetId="3" r:id="rId4"/>
  </sheets>
  <definedNames>
    <definedName name="BALANCE" localSheetId="3">Projection!$A$1:$F$20</definedName>
    <definedName name="BALANCE">'Balance Sheet'!$A$1:$H$65</definedName>
    <definedName name="NOTES">Notes!$A$1</definedName>
    <definedName name="_xlnm.Print_Area" localSheetId="3">Projection!$A$1:$H$20</definedName>
    <definedName name="_xlnm.Print_Area">'Balance Sheet'!$A$1:$I$65</definedName>
  </definedNames>
  <calcPr calcId="125725"/>
</workbook>
</file>

<file path=xl/calcChain.xml><?xml version="1.0" encoding="utf-8"?>
<calcChain xmlns="http://schemas.openxmlformats.org/spreadsheetml/2006/main">
  <c r="G63" i="1"/>
  <c r="G21" l="1"/>
  <c r="I65" l="1"/>
  <c r="G50"/>
  <c r="G61"/>
  <c r="G22"/>
  <c r="G14"/>
  <c r="E28" i="4"/>
  <c r="J19"/>
  <c r="E11"/>
  <c r="E10"/>
  <c r="E9"/>
  <c r="E20"/>
  <c r="E8"/>
  <c r="E24" s="1"/>
  <c r="E19"/>
  <c r="E21"/>
  <c r="J13"/>
  <c r="J24" s="1"/>
  <c r="O19"/>
  <c r="O24" s="1"/>
  <c r="E27"/>
  <c r="AP24" i="3"/>
  <c r="AP27" s="1"/>
  <c r="AP25"/>
  <c r="AP26"/>
  <c r="F14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F12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F9"/>
  <c r="H9" s="1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F10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F1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F13"/>
  <c r="G13"/>
  <c r="G14"/>
  <c r="F15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F16"/>
  <c r="G16"/>
  <c r="F17"/>
  <c r="H17" s="1"/>
  <c r="I17" s="1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F19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F20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2"/>
  <c r="A20"/>
  <c r="A19"/>
  <c r="A18"/>
  <c r="A17"/>
  <c r="A16"/>
  <c r="A15"/>
  <c r="A14"/>
  <c r="A13"/>
  <c r="A12"/>
  <c r="A11"/>
  <c r="A10"/>
  <c r="A9"/>
  <c r="G32" i="1"/>
  <c r="G44" s="1"/>
  <c r="G64"/>
  <c r="G85"/>
  <c r="G75"/>
  <c r="G52" l="1"/>
  <c r="G54" s="1"/>
  <c r="G65" s="1"/>
  <c r="F18" i="3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H16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H13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E29" i="4"/>
  <c r="E30" s="1"/>
  <c r="I9" i="3"/>
  <c r="G67" i="1"/>
  <c r="G21" i="3"/>
  <c r="F21" l="1"/>
  <c r="H21"/>
  <c r="J9"/>
  <c r="I21"/>
  <c r="K9" l="1"/>
  <c r="J21"/>
  <c r="L9" l="1"/>
  <c r="K21"/>
  <c r="L21" l="1"/>
  <c r="M9"/>
  <c r="N9" l="1"/>
  <c r="M21"/>
  <c r="O9" l="1"/>
  <c r="N21"/>
  <c r="P9" l="1"/>
  <c r="O21"/>
  <c r="P21" l="1"/>
  <c r="Q9"/>
  <c r="R9" l="1"/>
  <c r="Q21"/>
  <c r="S9" l="1"/>
  <c r="R21"/>
  <c r="T9" l="1"/>
  <c r="S21"/>
  <c r="T21" l="1"/>
  <c r="U9"/>
  <c r="V9" l="1"/>
  <c r="U21"/>
  <c r="W9" l="1"/>
  <c r="V21"/>
  <c r="X9" l="1"/>
  <c r="W21"/>
  <c r="Y9" l="1"/>
  <c r="X21"/>
  <c r="Z9" l="1"/>
  <c r="Y21"/>
  <c r="AA9" l="1"/>
  <c r="Z21"/>
  <c r="AB9" l="1"/>
  <c r="AA21"/>
  <c r="AC9" l="1"/>
  <c r="AB21"/>
  <c r="AD9" l="1"/>
  <c r="AC21"/>
  <c r="AD21" l="1"/>
  <c r="AE9"/>
  <c r="AF9" l="1"/>
  <c r="AE21"/>
  <c r="AG9" l="1"/>
  <c r="AF21"/>
  <c r="AH9" l="1"/>
  <c r="AG21"/>
  <c r="AI9" l="1"/>
  <c r="AH21"/>
  <c r="AJ9" l="1"/>
  <c r="AI21"/>
  <c r="AJ21" l="1"/>
  <c r="AK9"/>
  <c r="AL9" l="1"/>
  <c r="AK21"/>
  <c r="AM9" l="1"/>
  <c r="AL21"/>
  <c r="AN9" l="1"/>
  <c r="AM21"/>
  <c r="AN21" l="1"/>
  <c r="AO9"/>
  <c r="AO21" s="1"/>
</calcChain>
</file>

<file path=xl/sharedStrings.xml><?xml version="1.0" encoding="utf-8"?>
<sst xmlns="http://schemas.openxmlformats.org/spreadsheetml/2006/main" count="213" uniqueCount="199">
  <si>
    <t>ASSETS:</t>
  </si>
  <si>
    <t>Current Assets:</t>
  </si>
  <si>
    <t>Total Current Assets</t>
  </si>
  <si>
    <t>Long Term Assets:</t>
  </si>
  <si>
    <t xml:space="preserve">  Aim Constellation Fund</t>
  </si>
  <si>
    <t xml:space="preserve">  Aim Capital Development Fund</t>
  </si>
  <si>
    <t xml:space="preserve">  Putnam Growth &amp; Income</t>
  </si>
  <si>
    <t>Other:</t>
  </si>
  <si>
    <t xml:space="preserve">  7140 Aspen Court</t>
  </si>
  <si>
    <t>NC</t>
  </si>
  <si>
    <t xml:space="preserve">  Prudential Life Insurance Policy - Dawn</t>
  </si>
  <si>
    <t>Death Benefit (June, 1999)</t>
  </si>
  <si>
    <t xml:space="preserve">  NML Life Insurance - Term - Dawn</t>
  </si>
  <si>
    <t xml:space="preserve">  NML Life Insurance - Whole Life - Dawn</t>
  </si>
  <si>
    <t xml:space="preserve">  NML Life Insurance - Whole Life - Steve</t>
  </si>
  <si>
    <t xml:space="preserve">  State Farm Insurance Policy - Emily</t>
  </si>
  <si>
    <t xml:space="preserve">  CNA - Life Insurance - Steve</t>
  </si>
  <si>
    <t xml:space="preserve">  Philadelphia Life Insurance - Steve</t>
  </si>
  <si>
    <t xml:space="preserve">  M &amp; I Bank - Steve's IRA</t>
  </si>
  <si>
    <t xml:space="preserve">  NML - 401K Fund</t>
  </si>
  <si>
    <t xml:space="preserve">  SCJ Wax - Retirement Medical Savings Account</t>
  </si>
  <si>
    <t xml:space="preserve">  Johnson International - 401K Fund</t>
  </si>
  <si>
    <t>Total Other</t>
  </si>
  <si>
    <t>Total Long Term Assets</t>
  </si>
  <si>
    <t>Total Assets</t>
  </si>
  <si>
    <t>Mortgage:</t>
  </si>
  <si>
    <t>Total Mortgage</t>
  </si>
  <si>
    <t>Balance</t>
  </si>
  <si>
    <t>NOTES:</t>
  </si>
  <si>
    <t>Associated Mortgage</t>
  </si>
  <si>
    <t>Phone Number:   1-800-242-2470</t>
  </si>
  <si>
    <t>P.O. Box 12620</t>
  </si>
  <si>
    <t>Green Bay, WI  54307-2620</t>
  </si>
  <si>
    <t>Loan #88004</t>
  </si>
  <si>
    <t>Checking Account Number:   08000156158</t>
  </si>
  <si>
    <t>ECU's Rounting ABA Number:    275981378</t>
  </si>
  <si>
    <t>LIABILITIES &amp; NET WORTH:</t>
  </si>
  <si>
    <t>Total NET WORTH</t>
  </si>
  <si>
    <t>Total Liabilities &amp; Net Worth</t>
  </si>
  <si>
    <t>EMILY'S Information:</t>
  </si>
  <si>
    <t>Total Emily's Net Worth</t>
  </si>
  <si>
    <t xml:space="preserve">  SCJ Wax - Cash Balance Pension Plan</t>
  </si>
  <si>
    <t>Investments at Dad &amp; Mom's:</t>
  </si>
  <si>
    <t>Total Investments at Dad &amp; Mom's</t>
  </si>
  <si>
    <t>Net Worth (excluding Life Insurance Policies)</t>
  </si>
  <si>
    <t xml:space="preserve">  SCJ Life Insurance - Dawn (5 x Pay)</t>
  </si>
  <si>
    <t xml:space="preserve">  SCJ Life Insurance - Steve</t>
  </si>
  <si>
    <t xml:space="preserve">  SCJ Life Insurance - Emily</t>
  </si>
  <si>
    <t xml:space="preserve">  Prudential IRA - Dawn</t>
  </si>
  <si>
    <t>Balance Sheet</t>
  </si>
  <si>
    <t>DAWN &amp; STEVE JACOBOSON</t>
  </si>
  <si>
    <t xml:space="preserve">  Webster Electric Credit Union (Danfoss/MCU)</t>
  </si>
  <si>
    <t xml:space="preserve">  Sunnyslope Condo</t>
  </si>
  <si>
    <t xml:space="preserve">  ECU - Checking Account - #08</t>
  </si>
  <si>
    <t xml:space="preserve">  ECU - Savings Account - #00</t>
  </si>
  <si>
    <t>RYAN'S Information:</t>
  </si>
  <si>
    <t xml:space="preserve">  ECU Savings Account - #00</t>
  </si>
  <si>
    <t xml:space="preserve">  ECU CD - #40</t>
  </si>
  <si>
    <t>Total Ryan's Net Worth</t>
  </si>
  <si>
    <t xml:space="preserve">  ECU Savings Account - #11</t>
  </si>
  <si>
    <t xml:space="preserve">  SCJ Life Insurance - Ryan</t>
  </si>
  <si>
    <t xml:space="preserve">  The American Funds (Growth Fund of America - Class A)</t>
  </si>
  <si>
    <t xml:space="preserve">  Aim Global Growth</t>
  </si>
  <si>
    <t xml:space="preserve">  ECU - Money Market Account - #02</t>
  </si>
  <si>
    <t xml:space="preserve">  Trivent Investment Large Cap Stock Fund</t>
  </si>
  <si>
    <t xml:space="preserve">  NML Life Insurance - Ryan</t>
  </si>
  <si>
    <t xml:space="preserve">  SCJ Wax - 401K Fund (Deferred Profit Sharing and Savings Plan)</t>
  </si>
  <si>
    <t>NC (Total Investment Value - $953.50)</t>
  </si>
  <si>
    <t>MOM'S Information:</t>
  </si>
  <si>
    <t xml:space="preserve">  ECU - Special Savings Account - #03 (From Grandma Kralicek)</t>
  </si>
  <si>
    <t xml:space="preserve">  Johnson Bank - Savings Account</t>
  </si>
  <si>
    <t xml:space="preserve">  ECU Savings Account - #04</t>
  </si>
  <si>
    <t>MISC NOTES:</t>
  </si>
  <si>
    <t>Total</t>
  </si>
  <si>
    <t>Current</t>
  </si>
  <si>
    <t>Years until Retirement:</t>
  </si>
  <si>
    <t>% annual earnings</t>
  </si>
  <si>
    <t>Annual additional Investment</t>
  </si>
  <si>
    <t>Retirement Year 1</t>
  </si>
  <si>
    <t>Retirement Year 2</t>
  </si>
  <si>
    <t>Retirement Year 3</t>
  </si>
  <si>
    <t>Retirement Year 4</t>
  </si>
  <si>
    <t>Retirement Year 5</t>
  </si>
  <si>
    <t>Retirement Year 6</t>
  </si>
  <si>
    <t>Retirement Year 7</t>
  </si>
  <si>
    <t>Retirement Year 8</t>
  </si>
  <si>
    <t>Retirement Year 9</t>
  </si>
  <si>
    <t>Retirement Year 10</t>
  </si>
  <si>
    <t>Retirement Year 11</t>
  </si>
  <si>
    <t>Retirement Year 12</t>
  </si>
  <si>
    <t>Retirement Year 13</t>
  </si>
  <si>
    <t>Retirement Year 14</t>
  </si>
  <si>
    <t>Retirement Year 15</t>
  </si>
  <si>
    <t>Retirement Year 16</t>
  </si>
  <si>
    <t>Retirement Year 17</t>
  </si>
  <si>
    <t>Retirement Year 18</t>
  </si>
  <si>
    <t>Retirement Year 19</t>
  </si>
  <si>
    <t>Retirement Year 20</t>
  </si>
  <si>
    <t xml:space="preserve">  With Drawals:</t>
  </si>
  <si>
    <t xml:space="preserve">         Retirement Living</t>
  </si>
  <si>
    <t>Total Available Dollars (Investments less withdrawals)</t>
  </si>
  <si>
    <t>Investment Year 1</t>
  </si>
  <si>
    <t>Investment Year 2</t>
  </si>
  <si>
    <t>Investment Year 3</t>
  </si>
  <si>
    <t>Investment Year 4</t>
  </si>
  <si>
    <t>Investment Year 5</t>
  </si>
  <si>
    <t>Investment Year 6</t>
  </si>
  <si>
    <t>Investment Year 7</t>
  </si>
  <si>
    <t>Investment Year 8</t>
  </si>
  <si>
    <t>Investment Year 9</t>
  </si>
  <si>
    <t>Investment Year 10</t>
  </si>
  <si>
    <t>Investment Year 11</t>
  </si>
  <si>
    <t>Investment Year 12</t>
  </si>
  <si>
    <t>Investment Year 13</t>
  </si>
  <si>
    <t>Investment Year 14</t>
  </si>
  <si>
    <t xml:space="preserve">  Total Withdrawals</t>
  </si>
  <si>
    <t>Emily</t>
  </si>
  <si>
    <t>Ryan</t>
  </si>
  <si>
    <t xml:space="preserve">         Emily School and Wedding</t>
  </si>
  <si>
    <t xml:space="preserve">         Ryan School and Wedding</t>
  </si>
  <si>
    <t>Retirement Living</t>
  </si>
  <si>
    <t>NW Prior Year</t>
  </si>
  <si>
    <t>NW Change</t>
  </si>
  <si>
    <t xml:space="preserve">  Valley Forge Life Insurance - Steve</t>
  </si>
  <si>
    <t>May 10, 2008 (Death Benefit $10,000)</t>
  </si>
  <si>
    <t>May 10, 2008 (Death Benefit $39,215)</t>
  </si>
  <si>
    <t>Property Taxes</t>
  </si>
  <si>
    <t>Home Maintenance</t>
  </si>
  <si>
    <t>Homeowner's Insurance</t>
  </si>
  <si>
    <t xml:space="preserve">     </t>
  </si>
  <si>
    <t>Utilities:</t>
  </si>
  <si>
    <t>Electric / Gas</t>
  </si>
  <si>
    <t>Water</t>
  </si>
  <si>
    <t>Transportation:</t>
  </si>
  <si>
    <t>Housing:</t>
  </si>
  <si>
    <t>Auto Payments</t>
  </si>
  <si>
    <t>Auto Insurance</t>
  </si>
  <si>
    <t>Gas</t>
  </si>
  <si>
    <t>Maintenance / License</t>
  </si>
  <si>
    <t>Parking/Tolls/Bus/Train</t>
  </si>
  <si>
    <t>Total Column 1</t>
  </si>
  <si>
    <t>Groceries</t>
  </si>
  <si>
    <t>Personal Care</t>
  </si>
  <si>
    <t>Domestic Help</t>
  </si>
  <si>
    <t>Professional Dues</t>
  </si>
  <si>
    <t>Dependent / Child Care</t>
  </si>
  <si>
    <t>Education / School</t>
  </si>
  <si>
    <t>Cash / Allowances</t>
  </si>
  <si>
    <t>Personal Insurance:</t>
  </si>
  <si>
    <t>Household / Personal:</t>
  </si>
  <si>
    <t>May 2008</t>
  </si>
  <si>
    <t>Total Column 2</t>
  </si>
  <si>
    <t>Loan Payments / Savings:</t>
  </si>
  <si>
    <t>Credit Card Payments</t>
  </si>
  <si>
    <t>Other Loan Payments</t>
  </si>
  <si>
    <t>Savings / Investing</t>
  </si>
  <si>
    <t>Discretionary:</t>
  </si>
  <si>
    <t>Dining Out</t>
  </si>
  <si>
    <t>Recreation / Club Dues</t>
  </si>
  <si>
    <t>Movies / Sporting Events</t>
  </si>
  <si>
    <t>Hobbies</t>
  </si>
  <si>
    <t>Vacation  / Travel</t>
  </si>
  <si>
    <t>Gifts / Contributions</t>
  </si>
  <si>
    <t>Total Column 3</t>
  </si>
  <si>
    <r>
      <t xml:space="preserve">Mortgage/Rent </t>
    </r>
    <r>
      <rPr>
        <sz val="10"/>
        <rFont val="Helv"/>
      </rPr>
      <t>($1,141.88)</t>
    </r>
  </si>
  <si>
    <t>Phone</t>
  </si>
  <si>
    <t>Other: Braces</t>
  </si>
  <si>
    <t>RoadRunner</t>
  </si>
  <si>
    <t>Health Insurance *</t>
  </si>
  <si>
    <t>Life Insurance *</t>
  </si>
  <si>
    <t>Disability Insurance *</t>
  </si>
  <si>
    <t>Long Term Care *</t>
  </si>
  <si>
    <t>Medical/Dental/Drugs *</t>
  </si>
  <si>
    <t>Monthly Net Income *:</t>
  </si>
  <si>
    <t xml:space="preserve">   Less Expenses</t>
  </si>
  <si>
    <t>Clothing / Dry Cleaning</t>
  </si>
  <si>
    <t xml:space="preserve">  Northwestern Credit Union</t>
  </si>
  <si>
    <t>Other:  ???</t>
  </si>
  <si>
    <t>New Car Fund</t>
  </si>
  <si>
    <r>
      <t>1/2 2007 Bonus</t>
    </r>
    <r>
      <rPr>
        <sz val="10"/>
        <rFont val="Helv"/>
      </rPr>
      <t xml:space="preserve"> (less 50% Tax)</t>
    </r>
  </si>
  <si>
    <t>Column #1</t>
  </si>
  <si>
    <t>Column #2</t>
  </si>
  <si>
    <t>Column #3</t>
  </si>
  <si>
    <t>Dawn and Steve Jacobson</t>
  </si>
  <si>
    <t>MONTHLY BUDGET</t>
  </si>
  <si>
    <t>Total Surplus/(Deficit)</t>
  </si>
  <si>
    <t>Matures on 10/22/11</t>
  </si>
  <si>
    <t>December 31, 2011</t>
  </si>
  <si>
    <t>Death Benefit, December 31, 2011</t>
  </si>
  <si>
    <t>December 31,2011</t>
  </si>
  <si>
    <t>Total Cash Investments - Johnson Investment Services</t>
  </si>
  <si>
    <t>Cash Investments:  Johnson Investment Services</t>
  </si>
  <si>
    <t xml:space="preserve">  ECU Savings Account - #12  Ryan's Can Scan Savings</t>
  </si>
  <si>
    <t xml:space="preserve">  Growth Fund of America - American Funds (44.608 Shares @ $28.73)</t>
  </si>
  <si>
    <t xml:space="preserve">  Income Fund of America - American Funds (189.364 Shares @ $27.09)</t>
  </si>
  <si>
    <t xml:space="preserve">  Excelon (948.956 Shares @ $43.5744)</t>
  </si>
  <si>
    <t>Johnson Trust Loan ($160,288.23)  Interest rate 3.75%</t>
  </si>
  <si>
    <t>Purchase Price (FMV $263,282)</t>
  </si>
  <si>
    <t>Purchase Price (FMV $105,100 Assessment)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</si>
</sst>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3" formatCode="_(* #,##0.00_);_(* \(#,##0.00\);_(* &quot;-&quot;??_);_(@_)"/>
    <numFmt numFmtId="164" formatCode="0.00_)"/>
    <numFmt numFmtId="165" formatCode="mmmm\ d\,\ yyyy"/>
    <numFmt numFmtId="166" formatCode="#,##0.0_);\(#,##0.0\)"/>
    <numFmt numFmtId="167" formatCode="_(* #,##0_);_(* \(#,##0\);_(* &quot;-&quot;??_);_(@_)"/>
  </numFmts>
  <fonts count="16">
    <font>
      <sz val="12"/>
      <name val="Helv"/>
    </font>
    <font>
      <sz val="10"/>
      <name val="Arial"/>
      <family val="2"/>
    </font>
    <font>
      <b/>
      <sz val="14"/>
      <name val="Helv"/>
    </font>
    <font>
      <b/>
      <sz val="14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8"/>
      <name val="Helv"/>
    </font>
    <font>
      <b/>
      <sz val="12"/>
      <color indexed="12"/>
      <name val="Arial"/>
      <family val="2"/>
    </font>
    <font>
      <b/>
      <sz val="12"/>
      <name val="Helv"/>
    </font>
    <font>
      <sz val="12"/>
      <color indexed="12"/>
      <name val="Helv"/>
    </font>
    <font>
      <sz val="10"/>
      <name val="Helv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4" fillId="0" borderId="0" xfId="0" applyFont="1" applyProtection="1"/>
    <xf numFmtId="165" fontId="4" fillId="0" borderId="0" xfId="0" applyNumberFormat="1" applyFont="1" applyAlignment="1" applyProtection="1">
      <alignment horizontal="left"/>
    </xf>
    <xf numFmtId="0" fontId="4" fillId="0" borderId="0" xfId="0" applyFont="1"/>
    <xf numFmtId="0" fontId="6" fillId="0" borderId="0" xfId="0" applyFont="1" applyProtection="1"/>
    <xf numFmtId="165" fontId="6" fillId="0" borderId="0" xfId="0" applyNumberFormat="1" applyFont="1" applyAlignment="1" applyProtection="1">
      <alignment horizontal="left"/>
    </xf>
    <xf numFmtId="39" fontId="5" fillId="0" borderId="0" xfId="0" applyNumberFormat="1" applyFont="1" applyProtection="1">
      <protection locked="0"/>
    </xf>
    <xf numFmtId="0" fontId="4" fillId="0" borderId="0" xfId="0" quotePrefix="1" applyFont="1" applyAlignment="1" applyProtection="1">
      <alignment horizontal="left"/>
    </xf>
    <xf numFmtId="7" fontId="4" fillId="0" borderId="0" xfId="0" applyNumberFormat="1" applyFont="1" applyProtection="1"/>
    <xf numFmtId="164" fontId="4" fillId="0" borderId="0" xfId="0" applyNumberFormat="1" applyFont="1" applyProtection="1"/>
    <xf numFmtId="165" fontId="4" fillId="0" borderId="0" xfId="0" quotePrefix="1" applyNumberFormat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7" fontId="4" fillId="0" borderId="0" xfId="0" applyNumberFormat="1" applyFont="1" applyProtection="1">
      <protection locked="0"/>
    </xf>
    <xf numFmtId="0" fontId="4" fillId="0" borderId="1" xfId="0" applyFont="1" applyBorder="1" applyProtection="1"/>
    <xf numFmtId="39" fontId="4" fillId="0" borderId="0" xfId="0" applyNumberFormat="1" applyFont="1" applyProtection="1"/>
    <xf numFmtId="7" fontId="4" fillId="0" borderId="1" xfId="0" applyNumberFormat="1" applyFont="1" applyBorder="1" applyProtection="1"/>
    <xf numFmtId="7" fontId="4" fillId="0" borderId="3" xfId="0" applyNumberFormat="1" applyFont="1" applyBorder="1" applyProtection="1"/>
    <xf numFmtId="0" fontId="6" fillId="0" borderId="0" xfId="0" quotePrefix="1" applyFont="1" applyAlignment="1" applyProtection="1">
      <alignment horizontal="left"/>
    </xf>
    <xf numFmtId="39" fontId="4" fillId="0" borderId="0" xfId="0" applyNumberFormat="1" applyFont="1"/>
    <xf numFmtId="0" fontId="7" fillId="0" borderId="0" xfId="0" applyFont="1" applyProtection="1"/>
    <xf numFmtId="7" fontId="5" fillId="0" borderId="0" xfId="0" applyNumberFormat="1" applyFont="1" applyProtection="1">
      <protection locked="0"/>
    </xf>
    <xf numFmtId="165" fontId="4" fillId="0" borderId="0" xfId="0" applyNumberFormat="1" applyFont="1" applyAlignment="1">
      <alignment horizontal="left"/>
    </xf>
    <xf numFmtId="7" fontId="4" fillId="0" borderId="0" xfId="0" applyNumberFormat="1" applyFont="1"/>
    <xf numFmtId="165" fontId="8" fillId="0" borderId="0" xfId="0" applyNumberFormat="1" applyFont="1" applyAlignment="1">
      <alignment horizontal="left"/>
    </xf>
    <xf numFmtId="166" fontId="4" fillId="0" borderId="0" xfId="0" applyNumberFormat="1" applyFont="1"/>
    <xf numFmtId="43" fontId="4" fillId="0" borderId="0" xfId="1" applyFont="1" applyProtection="1"/>
    <xf numFmtId="7" fontId="4" fillId="0" borderId="0" xfId="0" applyNumberFormat="1" applyFont="1" applyAlignment="1" applyProtection="1">
      <alignment horizontal="left" wrapText="1"/>
    </xf>
    <xf numFmtId="39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7" fontId="6" fillId="0" borderId="4" xfId="0" applyNumberFormat="1" applyFont="1" applyBorder="1" applyProtection="1"/>
    <xf numFmtId="7" fontId="6" fillId="0" borderId="0" xfId="0" applyNumberFormat="1" applyFont="1" applyBorder="1" applyProtection="1"/>
    <xf numFmtId="43" fontId="5" fillId="0" borderId="0" xfId="1" applyNumberFormat="1" applyFont="1" applyAlignment="1" applyProtection="1"/>
    <xf numFmtId="43" fontId="5" fillId="0" borderId="0" xfId="1" applyFont="1" applyAlignment="1" applyProtection="1"/>
    <xf numFmtId="7" fontId="6" fillId="0" borderId="0" xfId="0" applyNumberFormat="1" applyFont="1" applyProtection="1"/>
    <xf numFmtId="43" fontId="5" fillId="0" borderId="0" xfId="1" applyFont="1" applyProtection="1"/>
    <xf numFmtId="43" fontId="4" fillId="0" borderId="0" xfId="0" applyNumberFormat="1" applyFont="1"/>
    <xf numFmtId="0" fontId="6" fillId="0" borderId="0" xfId="0" applyFont="1"/>
    <xf numFmtId="0" fontId="10" fillId="2" borderId="5" xfId="0" applyFont="1" applyFill="1" applyBorder="1" applyAlignment="1">
      <alignment horizontal="center"/>
    </xf>
    <xf numFmtId="49" fontId="6" fillId="2" borderId="6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37" fontId="6" fillId="2" borderId="6" xfId="0" applyNumberFormat="1" applyFont="1" applyFill="1" applyBorder="1"/>
    <xf numFmtId="37" fontId="6" fillId="2" borderId="7" xfId="0" applyNumberFormat="1" applyFont="1" applyFill="1" applyBorder="1"/>
    <xf numFmtId="37" fontId="6" fillId="2" borderId="7" xfId="1" applyNumberFormat="1" applyFont="1" applyFill="1" applyBorder="1" applyProtection="1"/>
    <xf numFmtId="37" fontId="6" fillId="2" borderId="9" xfId="1" applyNumberFormat="1" applyFont="1" applyFill="1" applyBorder="1" applyProtection="1"/>
    <xf numFmtId="37" fontId="6" fillId="3" borderId="7" xfId="1" applyNumberFormat="1" applyFont="1" applyFill="1" applyBorder="1" applyProtection="1"/>
    <xf numFmtId="37" fontId="4" fillId="0" borderId="0" xfId="0" applyNumberFormat="1" applyFont="1"/>
    <xf numFmtId="37" fontId="5" fillId="0" borderId="10" xfId="1" applyNumberFormat="1" applyFont="1" applyBorder="1" applyProtection="1"/>
    <xf numFmtId="37" fontId="5" fillId="0" borderId="10" xfId="1" applyNumberFormat="1" applyFont="1" applyBorder="1"/>
    <xf numFmtId="37" fontId="5" fillId="0" borderId="11" xfId="1" applyNumberFormat="1" applyFont="1" applyBorder="1"/>
    <xf numFmtId="37" fontId="5" fillId="0" borderId="0" xfId="1" applyNumberFormat="1" applyFont="1" applyBorder="1" applyProtection="1"/>
    <xf numFmtId="37" fontId="5" fillId="0" borderId="0" xfId="1" applyNumberFormat="1" applyFont="1" applyBorder="1"/>
    <xf numFmtId="37" fontId="5" fillId="0" borderId="12" xfId="1" applyNumberFormat="1" applyFont="1" applyBorder="1"/>
    <xf numFmtId="37" fontId="6" fillId="3" borderId="7" xfId="1" applyNumberFormat="1" applyFont="1" applyFill="1" applyBorder="1"/>
    <xf numFmtId="37" fontId="6" fillId="3" borderId="9" xfId="1" applyNumberFormat="1" applyFont="1" applyFill="1" applyBorder="1"/>
    <xf numFmtId="37" fontId="5" fillId="0" borderId="13" xfId="1" applyNumberFormat="1" applyFont="1" applyBorder="1"/>
    <xf numFmtId="37" fontId="5" fillId="0" borderId="14" xfId="1" applyNumberFormat="1" applyFont="1" applyBorder="1" applyProtection="1"/>
    <xf numFmtId="37" fontId="5" fillId="0" borderId="15" xfId="1" applyNumberFormat="1" applyFont="1" applyBorder="1" applyProtection="1"/>
    <xf numFmtId="37" fontId="6" fillId="3" borderId="6" xfId="1" applyNumberFormat="1" applyFont="1" applyFill="1" applyBorder="1" applyProtection="1"/>
    <xf numFmtId="37" fontId="5" fillId="0" borderId="0" xfId="1" applyNumberFormat="1" applyFont="1" applyFill="1" applyBorder="1" applyProtection="1">
      <protection locked="0"/>
    </xf>
    <xf numFmtId="37" fontId="6" fillId="0" borderId="0" xfId="1" applyNumberFormat="1" applyFont="1" applyFill="1" applyBorder="1" applyProtection="1">
      <protection locked="0"/>
    </xf>
    <xf numFmtId="39" fontId="5" fillId="0" borderId="0" xfId="0" applyNumberFormat="1" applyFont="1" applyFill="1" applyBorder="1" applyProtection="1"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37" fontId="4" fillId="0" borderId="0" xfId="1" applyNumberFormat="1" applyFont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39" fontId="4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37" fontId="4" fillId="0" borderId="15" xfId="0" applyNumberFormat="1" applyFont="1" applyBorder="1" applyAlignment="1" applyProtection="1">
      <alignment vertical="center"/>
      <protection locked="0"/>
    </xf>
    <xf numFmtId="37" fontId="4" fillId="0" borderId="16" xfId="1" applyNumberFormat="1" applyFont="1" applyBorder="1" applyAlignment="1" applyProtection="1">
      <alignment vertical="center"/>
    </xf>
    <xf numFmtId="37" fontId="6" fillId="3" borderId="8" xfId="1" applyNumberFormat="1" applyFont="1" applyFill="1" applyBorder="1" applyProtection="1"/>
    <xf numFmtId="0" fontId="6" fillId="3" borderId="8" xfId="0" applyFont="1" applyFill="1" applyBorder="1" applyAlignment="1">
      <alignment horizontal="center"/>
    </xf>
    <xf numFmtId="37" fontId="6" fillId="3" borderId="8" xfId="1" applyNumberFormat="1" applyFont="1" applyFill="1" applyBorder="1"/>
    <xf numFmtId="37" fontId="6" fillId="3" borderId="5" xfId="0" applyNumberFormat="1" applyFont="1" applyFill="1" applyBorder="1"/>
    <xf numFmtId="37" fontId="6" fillId="3" borderId="16" xfId="0" applyNumberFormat="1" applyFont="1" applyFill="1" applyBorder="1"/>
    <xf numFmtId="9" fontId="10" fillId="2" borderId="17" xfId="2" applyNumberFormat="1" applyFont="1" applyFill="1" applyBorder="1" applyAlignment="1">
      <alignment horizontal="center"/>
    </xf>
    <xf numFmtId="43" fontId="5" fillId="0" borderId="0" xfId="1" applyFont="1"/>
    <xf numFmtId="0" fontId="4" fillId="2" borderId="18" xfId="0" applyFont="1" applyFill="1" applyBorder="1" applyAlignment="1">
      <alignment horizontal="center"/>
    </xf>
    <xf numFmtId="43" fontId="5" fillId="0" borderId="19" xfId="1" applyFont="1" applyFill="1" applyBorder="1"/>
    <xf numFmtId="43" fontId="4" fillId="0" borderId="19" xfId="0" applyNumberFormat="1" applyFont="1" applyFill="1" applyBorder="1"/>
    <xf numFmtId="0" fontId="11" fillId="0" borderId="0" xfId="0" applyFont="1"/>
    <xf numFmtId="17" fontId="0" fillId="0" borderId="0" xfId="0" quotePrefix="1" applyNumberFormat="1"/>
    <xf numFmtId="167" fontId="12" fillId="0" borderId="0" xfId="1" applyNumberFormat="1" applyFont="1"/>
    <xf numFmtId="167" fontId="0" fillId="0" borderId="0" xfId="1" applyNumberFormat="1" applyFont="1"/>
    <xf numFmtId="167" fontId="0" fillId="0" borderId="2" xfId="1" applyNumberFormat="1" applyFont="1" applyBorder="1"/>
    <xf numFmtId="167" fontId="0" fillId="0" borderId="4" xfId="1" applyNumberFormat="1" applyFont="1" applyBorder="1"/>
    <xf numFmtId="0" fontId="0" fillId="0" borderId="20" xfId="0" applyFill="1" applyBorder="1"/>
    <xf numFmtId="0" fontId="0" fillId="0" borderId="21" xfId="0" applyFill="1" applyBorder="1"/>
    <xf numFmtId="167" fontId="12" fillId="0" borderId="22" xfId="1" applyNumberFormat="1" applyFont="1" applyFill="1" applyBorder="1"/>
    <xf numFmtId="0" fontId="0" fillId="0" borderId="23" xfId="0" applyFill="1" applyBorder="1"/>
    <xf numFmtId="0" fontId="0" fillId="0" borderId="0" xfId="0" applyFill="1" applyBorder="1"/>
    <xf numFmtId="167" fontId="12" fillId="0" borderId="24" xfId="1" applyNumberFormat="1" applyFont="1" applyFill="1" applyBorder="1"/>
    <xf numFmtId="167" fontId="0" fillId="0" borderId="24" xfId="0" applyNumberFormat="1" applyFill="1" applyBorder="1"/>
    <xf numFmtId="0" fontId="0" fillId="2" borderId="25" xfId="0" applyFill="1" applyBorder="1"/>
    <xf numFmtId="0" fontId="0" fillId="2" borderId="26" xfId="0" applyFill="1" applyBorder="1"/>
    <xf numFmtId="167" fontId="0" fillId="2" borderId="27" xfId="0" applyNumberFormat="1" applyFill="1" applyBorder="1"/>
    <xf numFmtId="165" fontId="14" fillId="0" borderId="0" xfId="0" quotePrefix="1" applyNumberFormat="1" applyFont="1" applyAlignment="1" applyProtection="1">
      <alignment horizontal="left"/>
    </xf>
    <xf numFmtId="165" fontId="14" fillId="0" borderId="0" xfId="0" applyNumberFormat="1" applyFont="1" applyAlignment="1" applyProtection="1">
      <alignment horizontal="left"/>
    </xf>
    <xf numFmtId="165" fontId="14" fillId="0" borderId="0" xfId="0" applyNumberFormat="1" applyFont="1" applyAlignment="1">
      <alignment horizontal="left"/>
    </xf>
    <xf numFmtId="2" fontId="14" fillId="0" borderId="0" xfId="0" quotePrefix="1" applyNumberFormat="1" applyFont="1" applyAlignment="1">
      <alignment horizontal="left"/>
    </xf>
    <xf numFmtId="43" fontId="14" fillId="0" borderId="0" xfId="1" applyNumberFormat="1" applyFont="1" applyAlignment="1" applyProtection="1"/>
    <xf numFmtId="165" fontId="15" fillId="0" borderId="0" xfId="0" applyNumberFormat="1" applyFont="1" applyAlignment="1" applyProtection="1">
      <alignment horizontal="left"/>
    </xf>
    <xf numFmtId="165" fontId="15" fillId="0" borderId="0" xfId="0" quotePrefix="1" applyNumberFormat="1" applyFont="1" applyAlignment="1" applyProtection="1">
      <alignment horizontal="left"/>
    </xf>
    <xf numFmtId="39" fontId="15" fillId="0" borderId="0" xfId="0" applyNumberFormat="1" applyFont="1" applyProtection="1">
      <protection locked="0"/>
    </xf>
    <xf numFmtId="39" fontId="14" fillId="0" borderId="0" xfId="0" applyNumberFormat="1" applyFont="1" applyProtection="1">
      <protection locked="0"/>
    </xf>
    <xf numFmtId="7" fontId="14" fillId="0" borderId="1" xfId="0" applyNumberFormat="1" applyFont="1" applyBorder="1" applyProtection="1">
      <protection locked="0"/>
    </xf>
    <xf numFmtId="39" fontId="15" fillId="0" borderId="1" xfId="0" applyNumberFormat="1" applyFont="1" applyBorder="1" applyProtection="1">
      <protection locked="0"/>
    </xf>
    <xf numFmtId="39" fontId="15" fillId="0" borderId="2" xfId="0" applyNumberFormat="1" applyFont="1" applyBorder="1" applyProtection="1">
      <protection locked="0"/>
    </xf>
    <xf numFmtId="39" fontId="15" fillId="0" borderId="2" xfId="0" applyNumberFormat="1" applyFont="1" applyFill="1" applyBorder="1" applyProtection="1">
      <protection locked="0"/>
    </xf>
    <xf numFmtId="7" fontId="15" fillId="0" borderId="0" xfId="0" applyNumberFormat="1" applyFont="1" applyProtection="1">
      <protection locked="0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quotePrefix="1" applyFont="1" applyAlignment="1" applyProtection="1">
      <alignment horizontal="center"/>
      <protection locked="0"/>
    </xf>
    <xf numFmtId="39" fontId="4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0"/>
  <sheetViews>
    <sheetView showGridLines="0" topLeftCell="A3" workbookViewId="0">
      <selection activeCell="H30" sqref="H30"/>
    </sheetView>
  </sheetViews>
  <sheetFormatPr defaultRowHeight="15.75"/>
  <cols>
    <col min="1" max="1" width="3.21875" customWidth="1"/>
    <col min="2" max="2" width="4.88671875" customWidth="1"/>
    <col min="3" max="3" width="7.44140625" customWidth="1"/>
    <col min="4" max="4" width="12.77734375" customWidth="1"/>
    <col min="5" max="5" width="8.77734375" customWidth="1"/>
    <col min="6" max="6" width="3.109375" customWidth="1"/>
    <col min="7" max="7" width="5.109375" customWidth="1"/>
    <col min="9" max="9" width="11.21875" customWidth="1"/>
    <col min="11" max="11" width="3.44140625" customWidth="1"/>
    <col min="12" max="12" width="5.33203125" customWidth="1"/>
    <col min="14" max="14" width="11.77734375" customWidth="1"/>
  </cols>
  <sheetData>
    <row r="1" spans="2:15">
      <c r="B1" s="124" t="s">
        <v>184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ht="19.5">
      <c r="B2" s="126" t="s">
        <v>183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2:15">
      <c r="B3" s="125" t="s">
        <v>150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5">
      <c r="E4" s="92"/>
    </row>
    <row r="5" spans="2:15">
      <c r="E5" s="92"/>
    </row>
    <row r="6" spans="2:15">
      <c r="B6" s="121" t="s">
        <v>180</v>
      </c>
      <c r="C6" s="122"/>
      <c r="D6" s="122"/>
      <c r="E6" s="123"/>
      <c r="G6" s="121" t="s">
        <v>181</v>
      </c>
      <c r="H6" s="122"/>
      <c r="I6" s="122"/>
      <c r="J6" s="123"/>
      <c r="L6" s="121" t="s">
        <v>182</v>
      </c>
      <c r="M6" s="122"/>
      <c r="N6" s="122"/>
      <c r="O6" s="123"/>
    </row>
    <row r="7" spans="2:15">
      <c r="B7" s="91" t="s">
        <v>134</v>
      </c>
      <c r="G7" s="91" t="s">
        <v>149</v>
      </c>
      <c r="L7" s="91" t="s">
        <v>152</v>
      </c>
      <c r="O7" s="94"/>
    </row>
    <row r="8" spans="2:15">
      <c r="C8" t="s">
        <v>164</v>
      </c>
      <c r="E8" s="93">
        <f>1500</f>
        <v>1500</v>
      </c>
      <c r="H8" t="s">
        <v>141</v>
      </c>
      <c r="J8" s="93">
        <v>400</v>
      </c>
      <c r="M8" t="s">
        <v>153</v>
      </c>
      <c r="O8" s="93">
        <v>0</v>
      </c>
    </row>
    <row r="9" spans="2:15">
      <c r="C9" t="s">
        <v>126</v>
      </c>
      <c r="E9" s="93">
        <f>ROUND((7700/12),-2)</f>
        <v>600</v>
      </c>
      <c r="H9" t="s">
        <v>142</v>
      </c>
      <c r="J9" s="93">
        <v>50</v>
      </c>
      <c r="M9" t="s">
        <v>154</v>
      </c>
      <c r="O9" s="93">
        <v>0</v>
      </c>
    </row>
    <row r="10" spans="2:15">
      <c r="C10" t="s">
        <v>127</v>
      </c>
      <c r="E10" s="93">
        <f>ROUND((15000/12),-2)</f>
        <v>1300</v>
      </c>
      <c r="H10" t="s">
        <v>175</v>
      </c>
      <c r="J10" s="93">
        <v>25</v>
      </c>
      <c r="M10" t="s">
        <v>155</v>
      </c>
      <c r="O10" s="93">
        <v>500</v>
      </c>
    </row>
    <row r="11" spans="2:15">
      <c r="C11" t="s">
        <v>128</v>
      </c>
      <c r="E11" s="93">
        <f>ROUND((112/12)+(30/12),0)</f>
        <v>12</v>
      </c>
      <c r="H11" t="s">
        <v>143</v>
      </c>
      <c r="J11" s="93">
        <v>85</v>
      </c>
      <c r="M11" t="s">
        <v>178</v>
      </c>
      <c r="O11" s="93">
        <v>500</v>
      </c>
    </row>
    <row r="12" spans="2:15">
      <c r="C12" t="s">
        <v>130</v>
      </c>
      <c r="D12" t="s">
        <v>131</v>
      </c>
      <c r="E12" s="93">
        <v>350</v>
      </c>
      <c r="H12" t="s">
        <v>144</v>
      </c>
      <c r="J12" s="93">
        <v>0</v>
      </c>
      <c r="O12" s="94"/>
    </row>
    <row r="13" spans="2:15">
      <c r="C13" t="s">
        <v>129</v>
      </c>
      <c r="D13" t="s">
        <v>132</v>
      </c>
      <c r="E13" s="93">
        <v>60</v>
      </c>
      <c r="H13" t="s">
        <v>145</v>
      </c>
      <c r="J13" s="93">
        <f>ROUND(135*4,-2)</f>
        <v>500</v>
      </c>
      <c r="L13" s="91" t="s">
        <v>156</v>
      </c>
      <c r="O13" s="94"/>
    </row>
    <row r="14" spans="2:15">
      <c r="D14" t="s">
        <v>167</v>
      </c>
      <c r="E14" s="93">
        <v>42</v>
      </c>
      <c r="H14" t="s">
        <v>146</v>
      </c>
      <c r="J14" s="93">
        <v>0</v>
      </c>
      <c r="M14" t="s">
        <v>157</v>
      </c>
      <c r="O14" s="93">
        <v>100</v>
      </c>
    </row>
    <row r="15" spans="2:15">
      <c r="D15" t="s">
        <v>165</v>
      </c>
      <c r="E15" s="93">
        <v>120</v>
      </c>
      <c r="H15" t="s">
        <v>147</v>
      </c>
      <c r="J15" s="93">
        <v>0</v>
      </c>
      <c r="M15" t="s">
        <v>158</v>
      </c>
      <c r="O15" s="93">
        <v>200</v>
      </c>
    </row>
    <row r="16" spans="2:15">
      <c r="E16" s="94"/>
      <c r="J16" s="94"/>
      <c r="M16" t="s">
        <v>159</v>
      </c>
      <c r="O16" s="93">
        <v>50</v>
      </c>
    </row>
    <row r="17" spans="2:15">
      <c r="B17" s="91" t="s">
        <v>133</v>
      </c>
      <c r="E17" s="94"/>
      <c r="G17" s="91" t="s">
        <v>148</v>
      </c>
      <c r="J17" s="94"/>
      <c r="M17" t="s">
        <v>160</v>
      </c>
      <c r="O17" s="93">
        <v>250</v>
      </c>
    </row>
    <row r="18" spans="2:15">
      <c r="C18" t="s">
        <v>135</v>
      </c>
      <c r="E18" s="93">
        <v>0</v>
      </c>
      <c r="H18" t="s">
        <v>168</v>
      </c>
      <c r="J18" s="93">
        <v>0</v>
      </c>
      <c r="M18" t="s">
        <v>161</v>
      </c>
      <c r="O18" s="93">
        <v>500</v>
      </c>
    </row>
    <row r="19" spans="2:15">
      <c r="C19" t="s">
        <v>136</v>
      </c>
      <c r="E19" s="93">
        <f>ROUND((327.7/6)+(270.49/6),-2)</f>
        <v>100</v>
      </c>
      <c r="H19" t="s">
        <v>169</v>
      </c>
      <c r="J19" s="93">
        <f>(65/4)+(26.18/4)+(90.5/12)+(3000/12)</f>
        <v>280.33666666666664</v>
      </c>
      <c r="M19" t="s">
        <v>162</v>
      </c>
      <c r="O19" s="93">
        <f>3000/12</f>
        <v>250</v>
      </c>
    </row>
    <row r="20" spans="2:15">
      <c r="C20" t="s">
        <v>137</v>
      </c>
      <c r="E20" s="93">
        <f>50+25</f>
        <v>75</v>
      </c>
      <c r="H20" t="s">
        <v>170</v>
      </c>
      <c r="J20" s="93">
        <v>0</v>
      </c>
      <c r="M20" t="s">
        <v>166</v>
      </c>
      <c r="O20" s="93">
        <v>200</v>
      </c>
    </row>
    <row r="21" spans="2:15">
      <c r="C21" t="s">
        <v>138</v>
      </c>
      <c r="E21" s="93">
        <f>75*4</f>
        <v>300</v>
      </c>
      <c r="H21" t="s">
        <v>171</v>
      </c>
      <c r="J21" s="93">
        <v>0</v>
      </c>
      <c r="M21" t="s">
        <v>177</v>
      </c>
      <c r="O21" s="93">
        <v>200</v>
      </c>
    </row>
    <row r="22" spans="2:15">
      <c r="C22" t="s">
        <v>139</v>
      </c>
      <c r="E22" s="93">
        <v>70</v>
      </c>
      <c r="H22" t="s">
        <v>172</v>
      </c>
      <c r="J22" s="93">
        <v>100</v>
      </c>
    </row>
    <row r="23" spans="2:15">
      <c r="E23" s="95"/>
      <c r="J23" s="93"/>
      <c r="O23" s="94"/>
    </row>
    <row r="24" spans="2:15" ht="16.5" thickBot="1">
      <c r="B24" s="91" t="s">
        <v>140</v>
      </c>
      <c r="E24" s="96">
        <f>SUM(E8:E23)</f>
        <v>4529</v>
      </c>
      <c r="G24" s="91" t="s">
        <v>151</v>
      </c>
      <c r="J24" s="96">
        <f>SUM(J8:J23)</f>
        <v>1440.3366666666666</v>
      </c>
      <c r="L24" s="91" t="s">
        <v>163</v>
      </c>
      <c r="O24" s="96">
        <f>SUM(O8:O23)</f>
        <v>2750</v>
      </c>
    </row>
    <row r="25" spans="2:15" ht="16.5" thickTop="1">
      <c r="E25" s="94"/>
      <c r="J25" s="94"/>
      <c r="O25" s="94"/>
    </row>
    <row r="26" spans="2:15" ht="16.5" thickBot="1">
      <c r="O26" s="94"/>
    </row>
    <row r="27" spans="2:15">
      <c r="B27" s="97" t="s">
        <v>173</v>
      </c>
      <c r="C27" s="98"/>
      <c r="D27" s="98"/>
      <c r="E27" s="99">
        <f>ROUND((3594.74*26/12)+(1252.77*26/12),-2)</f>
        <v>10500</v>
      </c>
    </row>
    <row r="28" spans="2:15">
      <c r="B28" s="100" t="s">
        <v>179</v>
      </c>
      <c r="C28" s="101"/>
      <c r="D28" s="101"/>
      <c r="E28" s="102">
        <f>ROUND((60000/2*0.5)/12,-2)</f>
        <v>1300</v>
      </c>
    </row>
    <row r="29" spans="2:15" ht="16.5" thickBot="1">
      <c r="B29" s="100" t="s">
        <v>174</v>
      </c>
      <c r="C29" s="101"/>
      <c r="D29" s="101"/>
      <c r="E29" s="103">
        <f>+E24+J24+O24</f>
        <v>8719.3366666666661</v>
      </c>
    </row>
    <row r="30" spans="2:15" ht="16.5" thickBot="1">
      <c r="B30" s="104" t="s">
        <v>185</v>
      </c>
      <c r="C30" s="105"/>
      <c r="D30" s="105"/>
      <c r="E30" s="106">
        <f>+E27+E28-E29</f>
        <v>3080.6633333333339</v>
      </c>
    </row>
  </sheetData>
  <mergeCells count="6">
    <mergeCell ref="B6:E6"/>
    <mergeCell ref="G6:J6"/>
    <mergeCell ref="L6:O6"/>
    <mergeCell ref="B1:O1"/>
    <mergeCell ref="B3:O3"/>
    <mergeCell ref="B2:O2"/>
  </mergeCells>
  <phoneticPr fontId="9" type="noConversion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W91"/>
  <sheetViews>
    <sheetView showGridLines="0" tabSelected="1" workbookViewId="0">
      <selection activeCell="H26" sqref="H26"/>
    </sheetView>
  </sheetViews>
  <sheetFormatPr defaultColWidth="9.77734375" defaultRowHeight="15"/>
  <cols>
    <col min="1" max="4" width="9.77734375" style="5"/>
    <col min="5" max="5" width="13.44140625" style="5" customWidth="1"/>
    <col min="6" max="6" width="8.109375" style="5" customWidth="1"/>
    <col min="7" max="7" width="13.33203125" style="5" customWidth="1"/>
    <col min="8" max="8" width="19.109375" style="23" customWidth="1"/>
    <col min="9" max="9" width="17.77734375" style="5" customWidth="1"/>
    <col min="10" max="10" width="11.33203125" style="5" customWidth="1"/>
    <col min="11" max="16384" width="9.77734375" style="5"/>
  </cols>
  <sheetData>
    <row r="1" spans="1:8" ht="18" customHeight="1">
      <c r="A1" s="127" t="s">
        <v>50</v>
      </c>
      <c r="B1" s="127"/>
      <c r="C1" s="127"/>
      <c r="D1" s="127"/>
      <c r="E1" s="127"/>
      <c r="F1" s="127"/>
      <c r="G1" s="127"/>
      <c r="H1" s="127"/>
    </row>
    <row r="2" spans="1:8" ht="15" customHeight="1">
      <c r="A2" s="128" t="s">
        <v>49</v>
      </c>
      <c r="B2" s="128"/>
      <c r="C2" s="128"/>
      <c r="D2" s="128"/>
      <c r="E2" s="128"/>
      <c r="F2" s="128"/>
      <c r="G2" s="128"/>
      <c r="H2" s="128"/>
    </row>
    <row r="3" spans="1:8" ht="15.75" customHeight="1">
      <c r="A3" s="129" t="s">
        <v>187</v>
      </c>
      <c r="B3" s="129"/>
      <c r="C3" s="129"/>
      <c r="D3" s="129"/>
      <c r="E3" s="129"/>
      <c r="F3" s="129"/>
      <c r="G3" s="129"/>
      <c r="H3" s="129"/>
    </row>
    <row r="4" spans="1:8" ht="9" customHeight="1"/>
    <row r="5" spans="1:8" ht="15.75">
      <c r="A5" s="6" t="s">
        <v>0</v>
      </c>
      <c r="B5" s="3"/>
      <c r="C5" s="3"/>
      <c r="D5" s="3"/>
      <c r="E5" s="3"/>
      <c r="F5" s="3"/>
      <c r="G5" s="3"/>
      <c r="H5" s="4"/>
    </row>
    <row r="6" spans="1:8" ht="15.75">
      <c r="A6" s="6" t="s">
        <v>1</v>
      </c>
      <c r="B6" s="3"/>
      <c r="C6" s="3"/>
      <c r="D6" s="3"/>
      <c r="E6" s="3"/>
      <c r="F6" s="3"/>
      <c r="G6" s="3"/>
      <c r="H6" s="7"/>
    </row>
    <row r="7" spans="1:8">
      <c r="A7" s="3" t="s">
        <v>53</v>
      </c>
      <c r="B7" s="3"/>
      <c r="C7" s="3"/>
      <c r="D7" s="3"/>
      <c r="E7" s="3"/>
      <c r="F7" s="3"/>
      <c r="G7" s="114">
        <v>66444.75</v>
      </c>
      <c r="H7" s="113">
        <v>40908</v>
      </c>
    </row>
    <row r="8" spans="1:8">
      <c r="A8" s="3" t="s">
        <v>54</v>
      </c>
      <c r="B8" s="3"/>
      <c r="C8" s="3"/>
      <c r="D8" s="3"/>
      <c r="E8" s="3"/>
      <c r="F8" s="3"/>
      <c r="G8" s="114">
        <v>13133.68</v>
      </c>
      <c r="H8" s="113">
        <v>40908</v>
      </c>
    </row>
    <row r="9" spans="1:8">
      <c r="A9" s="3" t="s">
        <v>63</v>
      </c>
      <c r="B9" s="3"/>
      <c r="C9" s="3"/>
      <c r="D9" s="3"/>
      <c r="E9" s="3"/>
      <c r="F9" s="3"/>
      <c r="G9" s="114">
        <v>69272.45</v>
      </c>
      <c r="H9" s="113">
        <v>40908</v>
      </c>
    </row>
    <row r="10" spans="1:8">
      <c r="A10" s="3" t="s">
        <v>69</v>
      </c>
      <c r="B10" s="3"/>
      <c r="C10" s="3"/>
      <c r="D10" s="3"/>
      <c r="E10" s="3"/>
      <c r="F10" s="3"/>
      <c r="G10" s="114">
        <v>48047.45</v>
      </c>
      <c r="H10" s="113">
        <v>40908</v>
      </c>
    </row>
    <row r="11" spans="1:8">
      <c r="A11" s="9" t="s">
        <v>51</v>
      </c>
      <c r="B11" s="3"/>
      <c r="C11" s="3"/>
      <c r="D11" s="3"/>
      <c r="E11" s="3"/>
      <c r="F11" s="3"/>
      <c r="G11" s="114">
        <v>253.08</v>
      </c>
      <c r="H11" s="113">
        <v>40908</v>
      </c>
    </row>
    <row r="12" spans="1:8">
      <c r="A12" s="30" t="s">
        <v>176</v>
      </c>
      <c r="B12" s="3"/>
      <c r="C12" s="3"/>
      <c r="D12" s="3"/>
      <c r="E12" s="3"/>
      <c r="F12" s="3"/>
      <c r="G12" s="114">
        <v>575.11</v>
      </c>
      <c r="H12" s="113">
        <v>40908</v>
      </c>
    </row>
    <row r="13" spans="1:8">
      <c r="A13" s="9" t="s">
        <v>70</v>
      </c>
      <c r="B13" s="3"/>
      <c r="C13" s="3"/>
      <c r="D13" s="3"/>
      <c r="E13" s="3"/>
      <c r="F13" s="3"/>
      <c r="G13" s="117">
        <v>10779.36</v>
      </c>
      <c r="H13" s="113">
        <v>40908</v>
      </c>
    </row>
    <row r="14" spans="1:8" ht="15.75">
      <c r="A14" s="6" t="s">
        <v>2</v>
      </c>
      <c r="B14" s="3"/>
      <c r="C14" s="3"/>
      <c r="D14" s="3"/>
      <c r="E14" s="3"/>
      <c r="F14" s="3"/>
      <c r="G14" s="10">
        <f>SUM(G7:G13)</f>
        <v>208505.88</v>
      </c>
      <c r="H14" s="108"/>
    </row>
    <row r="15" spans="1:8">
      <c r="A15" s="3"/>
      <c r="B15" s="3"/>
      <c r="C15" s="3"/>
      <c r="D15" s="3"/>
      <c r="E15" s="3"/>
      <c r="F15" s="3"/>
      <c r="G15" s="3"/>
      <c r="H15" s="108"/>
    </row>
    <row r="16" spans="1:8" ht="15.75">
      <c r="A16" s="6" t="s">
        <v>3</v>
      </c>
      <c r="B16" s="3"/>
      <c r="C16" s="3"/>
      <c r="D16" s="3"/>
      <c r="E16" s="3"/>
      <c r="F16" s="3"/>
      <c r="G16" s="10"/>
      <c r="H16" s="108"/>
    </row>
    <row r="17" spans="1:9" ht="15.75">
      <c r="A17" s="6" t="s">
        <v>191</v>
      </c>
      <c r="B17" s="3"/>
      <c r="C17" s="3"/>
      <c r="D17" s="3"/>
      <c r="E17" s="3"/>
      <c r="F17" s="3"/>
      <c r="G17" s="3"/>
      <c r="H17" s="108"/>
    </row>
    <row r="18" spans="1:9">
      <c r="A18" s="3" t="s">
        <v>4</v>
      </c>
      <c r="B18" s="3"/>
      <c r="C18" s="3"/>
      <c r="D18" s="3"/>
      <c r="E18" s="3"/>
      <c r="F18" s="3"/>
      <c r="G18" s="114">
        <v>23636.19</v>
      </c>
      <c r="H18" s="112">
        <v>40908</v>
      </c>
      <c r="I18" s="11"/>
    </row>
    <row r="19" spans="1:9">
      <c r="A19" s="3" t="s">
        <v>62</v>
      </c>
      <c r="B19" s="3"/>
      <c r="C19" s="3"/>
      <c r="D19" s="3"/>
      <c r="E19" s="3"/>
      <c r="F19" s="3"/>
      <c r="G19" s="114">
        <v>6493.08</v>
      </c>
      <c r="H19" s="112">
        <v>40908</v>
      </c>
      <c r="I19" s="3"/>
    </row>
    <row r="20" spans="1:9">
      <c r="A20" s="3" t="s">
        <v>5</v>
      </c>
      <c r="B20" s="3"/>
      <c r="C20" s="3"/>
      <c r="D20" s="3"/>
      <c r="E20" s="3"/>
      <c r="F20" s="3"/>
      <c r="G20" s="114">
        <v>39061.54</v>
      </c>
      <c r="H20" s="113">
        <v>40908</v>
      </c>
      <c r="I20" s="3"/>
    </row>
    <row r="21" spans="1:9">
      <c r="A21" s="3" t="s">
        <v>6</v>
      </c>
      <c r="B21" s="3"/>
      <c r="C21" s="3"/>
      <c r="D21" s="3"/>
      <c r="E21" s="3"/>
      <c r="F21" s="16"/>
      <c r="G21" s="119">
        <f>92083.02-0.26</f>
        <v>92082.760000000009</v>
      </c>
      <c r="H21" s="113">
        <v>40908</v>
      </c>
      <c r="I21" s="3"/>
    </row>
    <row r="22" spans="1:9" ht="15.75">
      <c r="A22" s="6" t="s">
        <v>190</v>
      </c>
      <c r="B22" s="3"/>
      <c r="C22" s="3"/>
      <c r="D22" s="3"/>
      <c r="E22" s="3"/>
      <c r="F22" s="16"/>
      <c r="G22" s="10">
        <f>SUM(G18:G21)</f>
        <v>161273.57</v>
      </c>
      <c r="H22" s="108"/>
      <c r="I22" s="3"/>
    </row>
    <row r="23" spans="1:9">
      <c r="G23" s="26"/>
      <c r="H23" s="109"/>
    </row>
    <row r="24" spans="1:9" ht="15.75">
      <c r="A24" s="6" t="s">
        <v>7</v>
      </c>
      <c r="B24" s="3"/>
      <c r="C24" s="3"/>
      <c r="D24" s="3"/>
      <c r="E24" s="3"/>
      <c r="F24" s="3"/>
      <c r="G24" s="3"/>
      <c r="H24" s="108"/>
      <c r="I24" s="3"/>
    </row>
    <row r="25" spans="1:9">
      <c r="A25" s="3" t="s">
        <v>8</v>
      </c>
      <c r="B25" s="3"/>
      <c r="C25" s="3"/>
      <c r="D25" s="3"/>
      <c r="E25" s="3"/>
      <c r="F25" s="3"/>
      <c r="G25" s="114">
        <v>156000</v>
      </c>
      <c r="H25" s="112" t="s">
        <v>197</v>
      </c>
      <c r="I25" s="3"/>
    </row>
    <row r="26" spans="1:9">
      <c r="A26" s="3" t="s">
        <v>52</v>
      </c>
      <c r="B26" s="3"/>
      <c r="C26" s="3"/>
      <c r="D26" s="3"/>
      <c r="E26" s="3"/>
      <c r="F26" s="3"/>
      <c r="G26" s="114">
        <v>165000</v>
      </c>
      <c r="H26" s="112" t="s">
        <v>198</v>
      </c>
      <c r="I26" s="3"/>
    </row>
    <row r="27" spans="1:9">
      <c r="A27" s="3" t="s">
        <v>10</v>
      </c>
      <c r="B27" s="3"/>
      <c r="C27" s="3"/>
      <c r="D27" s="3"/>
      <c r="E27" s="3"/>
      <c r="F27" s="3"/>
      <c r="G27" s="115">
        <v>6803.16</v>
      </c>
      <c r="H27" s="108" t="s">
        <v>11</v>
      </c>
      <c r="I27" s="3"/>
    </row>
    <row r="28" spans="1:9">
      <c r="A28" s="3" t="s">
        <v>48</v>
      </c>
      <c r="B28" s="3"/>
      <c r="C28" s="3"/>
      <c r="D28" s="3"/>
      <c r="E28" s="3"/>
      <c r="F28" s="3"/>
      <c r="G28" s="115">
        <v>1079.94</v>
      </c>
      <c r="H28" s="107">
        <v>40543</v>
      </c>
      <c r="I28" s="3"/>
    </row>
    <row r="29" spans="1:9">
      <c r="A29" s="3" t="s">
        <v>12</v>
      </c>
      <c r="B29" s="3"/>
      <c r="C29" s="3"/>
      <c r="D29" s="3"/>
      <c r="E29" s="10"/>
      <c r="F29" s="3"/>
      <c r="G29" s="29">
        <v>150000</v>
      </c>
      <c r="H29" s="112" t="s">
        <v>9</v>
      </c>
      <c r="I29" s="3"/>
    </row>
    <row r="30" spans="1:9">
      <c r="A30" s="3" t="s">
        <v>13</v>
      </c>
      <c r="B30" s="3"/>
      <c r="C30" s="3"/>
      <c r="D30" s="3"/>
      <c r="E30" s="3"/>
      <c r="F30" s="3"/>
      <c r="G30" s="29">
        <v>150000</v>
      </c>
      <c r="H30" s="112" t="s">
        <v>67</v>
      </c>
      <c r="I30" s="3"/>
    </row>
    <row r="31" spans="1:9">
      <c r="A31" s="3" t="s">
        <v>14</v>
      </c>
      <c r="B31" s="3"/>
      <c r="C31" s="3"/>
      <c r="D31" s="3"/>
      <c r="E31" s="3"/>
      <c r="F31" s="3"/>
      <c r="G31" s="29">
        <v>100000</v>
      </c>
      <c r="H31" s="112" t="s">
        <v>9</v>
      </c>
      <c r="I31" s="3"/>
    </row>
    <row r="32" spans="1:9">
      <c r="A32" s="3" t="s">
        <v>45</v>
      </c>
      <c r="B32" s="3"/>
      <c r="C32" s="3"/>
      <c r="D32" s="3"/>
      <c r="E32" s="3"/>
      <c r="F32" s="3"/>
      <c r="G32" s="29">
        <f>122000*5</f>
        <v>610000</v>
      </c>
      <c r="H32" s="112" t="s">
        <v>9</v>
      </c>
      <c r="I32" s="3"/>
    </row>
    <row r="33" spans="1:9">
      <c r="A33" s="3" t="s">
        <v>46</v>
      </c>
      <c r="B33" s="3"/>
      <c r="C33" s="3"/>
      <c r="D33" s="3"/>
      <c r="E33" s="3"/>
      <c r="F33" s="3"/>
      <c r="G33" s="29">
        <v>50000</v>
      </c>
      <c r="H33" s="112" t="s">
        <v>9</v>
      </c>
      <c r="I33" s="3"/>
    </row>
    <row r="34" spans="1:9">
      <c r="A34" s="3" t="s">
        <v>16</v>
      </c>
      <c r="B34" s="3"/>
      <c r="C34" s="3"/>
      <c r="D34" s="3"/>
      <c r="E34" s="3"/>
      <c r="F34" s="3"/>
      <c r="G34" s="29">
        <v>40000</v>
      </c>
      <c r="H34" s="112" t="s">
        <v>9</v>
      </c>
      <c r="I34" s="3"/>
    </row>
    <row r="35" spans="1:9">
      <c r="A35" s="3" t="s">
        <v>17</v>
      </c>
      <c r="B35" s="3"/>
      <c r="C35" s="3"/>
      <c r="D35" s="3"/>
      <c r="E35" s="3"/>
      <c r="F35" s="3"/>
      <c r="G35" s="29">
        <v>25000</v>
      </c>
      <c r="H35" s="112" t="s">
        <v>9</v>
      </c>
      <c r="I35" s="3"/>
    </row>
    <row r="36" spans="1:9">
      <c r="A36" s="3" t="s">
        <v>123</v>
      </c>
      <c r="B36" s="3"/>
      <c r="C36" s="3"/>
      <c r="D36" s="3"/>
      <c r="E36" s="3"/>
      <c r="F36" s="3"/>
      <c r="G36" s="115">
        <v>924.32</v>
      </c>
      <c r="H36" s="108" t="s">
        <v>124</v>
      </c>
      <c r="I36" s="3"/>
    </row>
    <row r="37" spans="1:9">
      <c r="A37" s="3" t="s">
        <v>123</v>
      </c>
      <c r="B37" s="3"/>
      <c r="C37" s="3"/>
      <c r="D37" s="3"/>
      <c r="E37" s="3"/>
      <c r="F37" s="3"/>
      <c r="G37" s="115">
        <v>5123.2700000000004</v>
      </c>
      <c r="H37" s="108" t="s">
        <v>125</v>
      </c>
      <c r="I37" s="3"/>
    </row>
    <row r="38" spans="1:9">
      <c r="A38" s="3" t="s">
        <v>18</v>
      </c>
      <c r="B38" s="3"/>
      <c r="C38" s="3"/>
      <c r="D38" s="3"/>
      <c r="E38" s="3"/>
      <c r="F38" s="3"/>
      <c r="G38" s="114">
        <v>271.98</v>
      </c>
      <c r="H38" s="113">
        <v>40908</v>
      </c>
      <c r="I38" s="11"/>
    </row>
    <row r="39" spans="1:9">
      <c r="A39" s="3" t="s">
        <v>19</v>
      </c>
      <c r="B39" s="3"/>
      <c r="C39" s="3"/>
      <c r="D39" s="3"/>
      <c r="E39" s="3"/>
      <c r="F39" s="3"/>
      <c r="G39" s="114">
        <v>167919.8</v>
      </c>
      <c r="H39" s="112">
        <v>40908</v>
      </c>
      <c r="I39" s="3"/>
    </row>
    <row r="40" spans="1:9">
      <c r="A40" s="3" t="s">
        <v>66</v>
      </c>
      <c r="B40" s="3"/>
      <c r="C40" s="3"/>
      <c r="D40" s="3"/>
      <c r="E40" s="3"/>
      <c r="F40" s="3"/>
      <c r="G40" s="114">
        <v>512683.33</v>
      </c>
      <c r="H40" s="112">
        <v>40908</v>
      </c>
      <c r="I40" s="11"/>
    </row>
    <row r="41" spans="1:9">
      <c r="A41" s="9" t="s">
        <v>41</v>
      </c>
      <c r="B41" s="3"/>
      <c r="C41" s="3"/>
      <c r="D41" s="3"/>
      <c r="E41" s="3"/>
      <c r="F41" s="3"/>
      <c r="G41" s="115">
        <v>121518.96</v>
      </c>
      <c r="H41" s="108">
        <v>40544</v>
      </c>
      <c r="I41" s="11"/>
    </row>
    <row r="42" spans="1:9">
      <c r="A42" s="3" t="s">
        <v>20</v>
      </c>
      <c r="B42" s="3"/>
      <c r="C42" s="3"/>
      <c r="D42" s="3"/>
      <c r="E42" s="3"/>
      <c r="F42" s="3"/>
      <c r="G42" s="114">
        <v>71214.080000000002</v>
      </c>
      <c r="H42" s="112" t="s">
        <v>189</v>
      </c>
      <c r="I42" s="3"/>
    </row>
    <row r="43" spans="1:9">
      <c r="A43" s="3" t="s">
        <v>21</v>
      </c>
      <c r="B43" s="3"/>
      <c r="C43" s="3"/>
      <c r="D43" s="3"/>
      <c r="E43" s="3"/>
      <c r="F43" s="3"/>
      <c r="G43" s="117">
        <v>37740.11</v>
      </c>
      <c r="H43" s="112" t="s">
        <v>189</v>
      </c>
      <c r="I43" s="11"/>
    </row>
    <row r="44" spans="1:9" ht="15.75">
      <c r="A44" s="6" t="s">
        <v>22</v>
      </c>
      <c r="B44" s="3"/>
      <c r="C44" s="3"/>
      <c r="D44" s="3"/>
      <c r="E44" s="3"/>
      <c r="F44" s="3"/>
      <c r="G44" s="10">
        <f>SUM(G25:G43)</f>
        <v>2371278.9500000002</v>
      </c>
      <c r="H44" s="108"/>
      <c r="I44" s="3"/>
    </row>
    <row r="45" spans="1:9" ht="15.75">
      <c r="A45" s="6"/>
      <c r="B45" s="3"/>
      <c r="C45" s="3"/>
      <c r="D45" s="3"/>
      <c r="E45" s="3"/>
      <c r="F45" s="3"/>
      <c r="G45" s="10"/>
      <c r="H45" s="108"/>
      <c r="I45" s="3"/>
    </row>
    <row r="46" spans="1:9" ht="15.75">
      <c r="A46" s="6" t="s">
        <v>42</v>
      </c>
      <c r="B46" s="3"/>
      <c r="C46" s="3"/>
      <c r="D46" s="3"/>
      <c r="E46" s="3"/>
      <c r="F46" s="10"/>
      <c r="G46" s="10"/>
      <c r="H46" s="108"/>
      <c r="I46" s="3"/>
    </row>
    <row r="47" spans="1:9">
      <c r="A47" s="9" t="s">
        <v>195</v>
      </c>
      <c r="B47" s="3"/>
      <c r="C47" s="3"/>
      <c r="D47" s="3"/>
      <c r="E47" s="3"/>
      <c r="F47" s="3"/>
      <c r="G47" s="114">
        <v>41355.5</v>
      </c>
      <c r="H47" s="113">
        <v>40908</v>
      </c>
      <c r="I47" s="3"/>
    </row>
    <row r="48" spans="1:9">
      <c r="A48" s="9" t="s">
        <v>193</v>
      </c>
      <c r="B48" s="3"/>
      <c r="C48" s="3"/>
      <c r="D48" s="3"/>
      <c r="E48" s="3"/>
      <c r="F48" s="3"/>
      <c r="G48" s="114">
        <v>1281.5899999999999</v>
      </c>
      <c r="H48" s="113">
        <v>40908</v>
      </c>
      <c r="I48" s="3"/>
    </row>
    <row r="49" spans="1:23">
      <c r="A49" s="9" t="s">
        <v>194</v>
      </c>
      <c r="B49" s="3"/>
      <c r="C49" s="3"/>
      <c r="D49" s="3"/>
      <c r="E49" s="3"/>
      <c r="F49" s="3"/>
      <c r="G49" s="118">
        <v>5129.87</v>
      </c>
      <c r="H49" s="113">
        <v>40908</v>
      </c>
      <c r="I49" s="3"/>
    </row>
    <row r="50" spans="1:23" ht="15.75">
      <c r="A50" s="13" t="s">
        <v>43</v>
      </c>
      <c r="B50" s="3"/>
      <c r="C50" s="3"/>
      <c r="D50" s="3"/>
      <c r="E50" s="3"/>
      <c r="F50" s="3"/>
      <c r="G50" s="14">
        <f>SUM(G47:G49)</f>
        <v>47766.96</v>
      </c>
      <c r="H50" s="107"/>
      <c r="I50" s="28"/>
    </row>
    <row r="51" spans="1:23">
      <c r="A51" s="3"/>
      <c r="B51" s="3"/>
      <c r="C51" s="3"/>
      <c r="D51" s="3"/>
      <c r="E51" s="3"/>
      <c r="F51" s="3"/>
      <c r="G51" s="15"/>
      <c r="H51" s="108"/>
    </row>
    <row r="52" spans="1:23" ht="15.75">
      <c r="A52" s="6" t="s">
        <v>23</v>
      </c>
      <c r="B52" s="3"/>
      <c r="C52" s="3"/>
      <c r="D52" s="3"/>
      <c r="E52" s="3"/>
      <c r="F52" s="3"/>
      <c r="G52" s="10">
        <f>G22+G44+G50</f>
        <v>2580319.48</v>
      </c>
      <c r="H52" s="108"/>
      <c r="I52" s="16"/>
    </row>
    <row r="53" spans="1:23">
      <c r="A53" s="3"/>
      <c r="B53" s="3"/>
      <c r="C53" s="3"/>
      <c r="D53" s="3"/>
      <c r="E53" s="3"/>
      <c r="F53" s="3"/>
      <c r="G53" s="17"/>
      <c r="H53" s="108"/>
      <c r="I53" s="3"/>
    </row>
    <row r="54" spans="1:23" ht="16.5" thickBot="1">
      <c r="A54" s="6" t="s">
        <v>24</v>
      </c>
      <c r="B54" s="3"/>
      <c r="C54" s="3"/>
      <c r="D54" s="3"/>
      <c r="E54" s="3"/>
      <c r="F54" s="3"/>
      <c r="G54" s="18">
        <f>G14+G52</f>
        <v>2788825.36</v>
      </c>
      <c r="H54" s="108"/>
      <c r="I54" s="3"/>
    </row>
    <row r="55" spans="1:23" ht="15.75" thickTop="1">
      <c r="A55" s="3"/>
      <c r="B55" s="3"/>
      <c r="C55" s="3"/>
      <c r="D55" s="3"/>
      <c r="E55" s="3"/>
      <c r="F55" s="3"/>
      <c r="G55" s="10"/>
      <c r="H55" s="108"/>
      <c r="I55" s="3"/>
    </row>
    <row r="56" spans="1:23" ht="15.75">
      <c r="A56" s="19" t="s">
        <v>36</v>
      </c>
      <c r="B56" s="3"/>
      <c r="C56" s="3"/>
      <c r="D56" s="3"/>
      <c r="E56" s="3"/>
      <c r="F56" s="3"/>
      <c r="G56" s="10"/>
      <c r="H56" s="108"/>
      <c r="I56" s="3"/>
    </row>
    <row r="57" spans="1:23">
      <c r="H57" s="109"/>
    </row>
    <row r="58" spans="1:23" ht="15.75">
      <c r="A58" s="6" t="s">
        <v>25</v>
      </c>
      <c r="B58" s="3"/>
      <c r="C58" s="3"/>
      <c r="D58" s="3"/>
      <c r="E58" s="3"/>
      <c r="F58" s="3"/>
      <c r="G58" s="3"/>
      <c r="H58" s="110"/>
    </row>
    <row r="59" spans="1:23" ht="6.75" customHeight="1">
      <c r="A59" s="3"/>
      <c r="B59" s="3"/>
      <c r="C59" s="3"/>
      <c r="D59" s="3"/>
      <c r="E59" s="3"/>
      <c r="F59" s="3"/>
      <c r="G59" s="8"/>
      <c r="H59" s="107"/>
      <c r="I59" s="20"/>
    </row>
    <row r="60" spans="1:23">
      <c r="A60" s="3" t="s">
        <v>196</v>
      </c>
      <c r="B60" s="3"/>
      <c r="C60" s="3"/>
      <c r="D60" s="3"/>
      <c r="E60" s="3"/>
      <c r="F60" s="3"/>
      <c r="G60" s="118">
        <v>86850</v>
      </c>
      <c r="H60" s="112">
        <v>40908</v>
      </c>
      <c r="I60" s="30"/>
      <c r="J60" s="3"/>
      <c r="K60" s="3"/>
      <c r="L60" s="3"/>
      <c r="M60" s="3"/>
      <c r="N60" s="3"/>
      <c r="O60" s="3"/>
      <c r="P60" s="3"/>
      <c r="Q60" s="8"/>
      <c r="R60" s="12"/>
      <c r="S60" s="3"/>
      <c r="T60" s="3"/>
      <c r="U60" s="3"/>
      <c r="V60" s="3"/>
      <c r="W60" s="3"/>
    </row>
    <row r="61" spans="1:23" ht="16.5" thickBot="1">
      <c r="A61" s="6" t="s">
        <v>26</v>
      </c>
      <c r="B61" s="3"/>
      <c r="C61" s="3"/>
      <c r="D61" s="3"/>
      <c r="E61" s="3"/>
      <c r="F61" s="3"/>
      <c r="G61" s="10">
        <f>SUM(G59:G60)</f>
        <v>86850</v>
      </c>
      <c r="H61" s="108"/>
      <c r="I61" s="30"/>
    </row>
    <row r="62" spans="1:23">
      <c r="H62" s="109"/>
      <c r="I62" s="88" t="s">
        <v>121</v>
      </c>
    </row>
    <row r="63" spans="1:23" ht="16.5" thickBot="1">
      <c r="A63" s="19" t="s">
        <v>37</v>
      </c>
      <c r="B63" s="3"/>
      <c r="C63" s="3"/>
      <c r="D63" s="33"/>
      <c r="E63" s="34"/>
      <c r="F63" s="3"/>
      <c r="G63" s="116">
        <f>2261492.79+110760.65+272124.76-9566.26+67163.42</f>
        <v>2701975.3600000003</v>
      </c>
      <c r="H63" s="111"/>
      <c r="I63" s="89">
        <v>2581885.5499999998</v>
      </c>
    </row>
    <row r="64" spans="1:23" ht="16.5" thickBot="1">
      <c r="A64" s="19" t="s">
        <v>38</v>
      </c>
      <c r="B64" s="3"/>
      <c r="C64" s="3"/>
      <c r="D64" s="3"/>
      <c r="E64" s="3"/>
      <c r="F64" s="3"/>
      <c r="G64" s="18">
        <f>G61+G63</f>
        <v>2788825.3600000003</v>
      </c>
      <c r="H64" s="108"/>
      <c r="I64" s="88" t="s">
        <v>122</v>
      </c>
    </row>
    <row r="65" spans="1:10" ht="16.5" thickTop="1" thickBot="1">
      <c r="A65" s="3"/>
      <c r="B65" s="3"/>
      <c r="C65" s="3"/>
      <c r="D65" s="3" t="s">
        <v>27</v>
      </c>
      <c r="F65" s="3"/>
      <c r="G65" s="27">
        <f>ROUND(+G54-G64,2)</f>
        <v>0</v>
      </c>
      <c r="H65" s="108"/>
      <c r="I65" s="90">
        <f>+G63-I63</f>
        <v>120089.81000000052</v>
      </c>
    </row>
    <row r="66" spans="1:10" ht="8.25" customHeight="1">
      <c r="H66" s="109"/>
      <c r="I66" s="87"/>
    </row>
    <row r="67" spans="1:10" ht="15.75">
      <c r="A67" s="6" t="s">
        <v>44</v>
      </c>
      <c r="B67" s="3"/>
      <c r="C67" s="3"/>
      <c r="D67" s="3"/>
      <c r="E67" s="36"/>
      <c r="F67" s="3"/>
      <c r="G67" s="35">
        <f>G14+G22+SUM(G38:G43)+G50+G25+G26+G28-G61</f>
        <v>1564124.6099999999</v>
      </c>
      <c r="H67" s="108"/>
      <c r="I67" s="87"/>
      <c r="J67" s="37"/>
    </row>
    <row r="68" spans="1:10">
      <c r="A68" s="3"/>
      <c r="B68" s="3"/>
      <c r="C68" s="3"/>
      <c r="D68" s="3"/>
      <c r="E68" s="3"/>
      <c r="F68" s="3"/>
      <c r="G68" s="16"/>
      <c r="H68" s="108"/>
    </row>
    <row r="69" spans="1:10" ht="15.75">
      <c r="A69" s="21" t="s">
        <v>39</v>
      </c>
      <c r="B69" s="3"/>
      <c r="C69" s="3"/>
      <c r="D69" s="3"/>
      <c r="E69" s="3"/>
      <c r="F69" s="3"/>
      <c r="G69" s="16"/>
      <c r="H69" s="108"/>
    </row>
    <row r="70" spans="1:10">
      <c r="A70" s="3" t="s">
        <v>15</v>
      </c>
      <c r="B70" s="3"/>
      <c r="C70" s="3"/>
      <c r="D70" s="3"/>
      <c r="E70" s="3"/>
      <c r="F70" s="3"/>
      <c r="G70" s="14">
        <v>15000</v>
      </c>
      <c r="H70" s="112" t="s">
        <v>9</v>
      </c>
      <c r="I70" s="3"/>
    </row>
    <row r="71" spans="1:10">
      <c r="A71" s="3" t="s">
        <v>47</v>
      </c>
      <c r="B71" s="3"/>
      <c r="C71" s="3"/>
      <c r="D71" s="3"/>
      <c r="E71" s="3"/>
      <c r="F71" s="3"/>
      <c r="G71" s="29">
        <v>10000</v>
      </c>
      <c r="H71" s="112" t="s">
        <v>9</v>
      </c>
      <c r="I71" s="3"/>
    </row>
    <row r="72" spans="1:10">
      <c r="A72" s="3" t="s">
        <v>64</v>
      </c>
      <c r="B72" s="3"/>
      <c r="C72" s="3"/>
      <c r="D72" s="3"/>
      <c r="E72" s="3"/>
      <c r="F72" s="3"/>
      <c r="G72" s="114">
        <v>6606.8</v>
      </c>
      <c r="H72" s="112">
        <v>40908</v>
      </c>
      <c r="I72" s="3"/>
      <c r="J72" s="20"/>
    </row>
    <row r="73" spans="1:10" ht="15.75">
      <c r="A73" s="9" t="s">
        <v>57</v>
      </c>
      <c r="B73" s="3"/>
      <c r="C73" s="6" t="s">
        <v>186</v>
      </c>
      <c r="D73" s="3"/>
      <c r="E73" s="3"/>
      <c r="F73" s="3"/>
      <c r="G73" s="114">
        <v>2084.9899999999998</v>
      </c>
      <c r="H73" s="112">
        <v>40908</v>
      </c>
    </row>
    <row r="74" spans="1:10">
      <c r="A74" s="9" t="s">
        <v>56</v>
      </c>
      <c r="B74" s="3"/>
      <c r="C74" s="3"/>
      <c r="D74" s="3"/>
      <c r="E74" s="3"/>
      <c r="F74" s="3"/>
      <c r="G74" s="118">
        <v>12761.44</v>
      </c>
      <c r="H74" s="112">
        <v>40908</v>
      </c>
    </row>
    <row r="75" spans="1:10" ht="16.5" thickBot="1">
      <c r="A75" s="19" t="s">
        <v>40</v>
      </c>
      <c r="B75" s="3"/>
      <c r="C75" s="3"/>
      <c r="D75" s="3"/>
      <c r="E75" s="3"/>
      <c r="F75" s="3"/>
      <c r="G75" s="31">
        <f>SUM(G70:G74)</f>
        <v>46453.23</v>
      </c>
      <c r="H75" s="109"/>
    </row>
    <row r="76" spans="1:10" ht="15.75" thickTop="1">
      <c r="G76" s="24"/>
      <c r="H76" s="109"/>
    </row>
    <row r="77" spans="1:10" ht="15.75">
      <c r="A77" s="21" t="s">
        <v>55</v>
      </c>
      <c r="H77" s="109"/>
    </row>
    <row r="78" spans="1:10">
      <c r="A78" s="3" t="s">
        <v>60</v>
      </c>
      <c r="B78" s="3"/>
      <c r="C78" s="3"/>
      <c r="D78" s="3"/>
      <c r="E78" s="3"/>
      <c r="F78" s="3"/>
      <c r="G78" s="29">
        <v>10000</v>
      </c>
      <c r="H78" s="112" t="s">
        <v>9</v>
      </c>
      <c r="I78" s="3"/>
    </row>
    <row r="79" spans="1:10">
      <c r="A79" s="3" t="s">
        <v>65</v>
      </c>
      <c r="B79" s="3"/>
      <c r="C79" s="3"/>
      <c r="D79" s="3"/>
      <c r="E79" s="3"/>
      <c r="F79" s="3"/>
      <c r="G79" s="114">
        <v>26632</v>
      </c>
      <c r="H79" s="112" t="s">
        <v>188</v>
      </c>
      <c r="I79" s="3"/>
    </row>
    <row r="80" spans="1:10">
      <c r="A80" s="3" t="s">
        <v>192</v>
      </c>
      <c r="B80" s="3"/>
      <c r="C80" s="3"/>
      <c r="D80" s="3"/>
      <c r="E80" s="3"/>
      <c r="F80" s="3"/>
      <c r="G80" s="114">
        <v>26.5</v>
      </c>
      <c r="H80" s="112">
        <v>40908</v>
      </c>
      <c r="I80" s="3"/>
    </row>
    <row r="81" spans="1:9">
      <c r="A81" s="3" t="s">
        <v>64</v>
      </c>
      <c r="B81" s="3"/>
      <c r="C81" s="3"/>
      <c r="D81" s="3"/>
      <c r="E81" s="3"/>
      <c r="F81" s="3"/>
      <c r="G81" s="114">
        <v>3624.32</v>
      </c>
      <c r="H81" s="112">
        <v>40908</v>
      </c>
      <c r="I81" s="3"/>
    </row>
    <row r="82" spans="1:9">
      <c r="A82" s="3" t="s">
        <v>61</v>
      </c>
      <c r="B82" s="3"/>
      <c r="C82" s="3"/>
      <c r="D82" s="3"/>
      <c r="E82" s="3"/>
      <c r="F82" s="3"/>
      <c r="G82" s="114">
        <v>302.07</v>
      </c>
      <c r="H82" s="112">
        <v>40908</v>
      </c>
      <c r="I82" s="3"/>
    </row>
    <row r="83" spans="1:9">
      <c r="A83" s="9" t="s">
        <v>59</v>
      </c>
      <c r="B83" s="3"/>
      <c r="C83" s="3"/>
      <c r="D83" s="3"/>
      <c r="E83" s="3"/>
      <c r="F83" s="3"/>
      <c r="G83" s="120">
        <v>2984.13</v>
      </c>
      <c r="H83" s="112">
        <v>40908</v>
      </c>
    </row>
    <row r="84" spans="1:9">
      <c r="A84" s="9" t="s">
        <v>56</v>
      </c>
      <c r="B84" s="3"/>
      <c r="C84" s="3"/>
      <c r="D84" s="3"/>
      <c r="E84" s="3"/>
      <c r="F84" s="3"/>
      <c r="G84" s="120">
        <v>5937.11</v>
      </c>
      <c r="H84" s="112">
        <v>40908</v>
      </c>
    </row>
    <row r="85" spans="1:9" ht="16.5" thickBot="1">
      <c r="A85" s="19" t="s">
        <v>58</v>
      </c>
      <c r="B85" s="3"/>
      <c r="C85" s="3"/>
      <c r="D85" s="3"/>
      <c r="E85" s="3"/>
      <c r="F85" s="3"/>
      <c r="G85" s="31">
        <f>SUM(G78:G84)</f>
        <v>49506.13</v>
      </c>
      <c r="H85" s="109"/>
    </row>
    <row r="86" spans="1:9" ht="16.5" thickTop="1">
      <c r="A86" s="19"/>
      <c r="B86" s="3"/>
      <c r="C86" s="3"/>
      <c r="D86" s="3"/>
      <c r="E86" s="3"/>
      <c r="F86" s="3"/>
      <c r="G86" s="32"/>
      <c r="H86" s="109"/>
    </row>
    <row r="87" spans="1:9" ht="15.75">
      <c r="A87" s="21" t="s">
        <v>68</v>
      </c>
      <c r="H87" s="109"/>
    </row>
    <row r="88" spans="1:9">
      <c r="A88" s="30" t="s">
        <v>71</v>
      </c>
      <c r="B88" s="3"/>
      <c r="C88" s="3"/>
      <c r="D88" s="3"/>
      <c r="E88" s="3"/>
      <c r="F88" s="3"/>
      <c r="G88" s="114">
        <v>4613.53</v>
      </c>
      <c r="H88" s="113">
        <v>40908</v>
      </c>
    </row>
    <row r="90" spans="1:9" ht="15.75">
      <c r="A90" s="21" t="s">
        <v>72</v>
      </c>
      <c r="H90" s="25"/>
    </row>
    <row r="91" spans="1:9">
      <c r="A91" s="30"/>
      <c r="B91" s="3"/>
      <c r="C91" s="3"/>
      <c r="D91" s="3"/>
      <c r="E91" s="3"/>
      <c r="F91" s="3"/>
      <c r="G91" s="22"/>
      <c r="H91" s="4"/>
    </row>
  </sheetData>
  <mergeCells count="3">
    <mergeCell ref="A1:H1"/>
    <mergeCell ref="A2:H2"/>
    <mergeCell ref="A3:H3"/>
  </mergeCells>
  <phoneticPr fontId="9" type="noConversion"/>
  <printOptions horizontalCentered="1" verticalCentered="1"/>
  <pageMargins left="0" right="0" top="0" bottom="0" header="0.5" footer="0.5"/>
  <pageSetup scale="76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B10"/>
  <sheetViews>
    <sheetView showGridLines="0" workbookViewId="0">
      <selection activeCell="A16" sqref="A16"/>
    </sheetView>
  </sheetViews>
  <sheetFormatPr defaultColWidth="9.77734375" defaultRowHeight="15.75"/>
  <sheetData>
    <row r="1" spans="1:2" ht="19.5">
      <c r="A1" s="2" t="s">
        <v>28</v>
      </c>
      <c r="B1" s="1"/>
    </row>
    <row r="3" spans="1:2">
      <c r="A3" s="1" t="s">
        <v>29</v>
      </c>
      <c r="B3" s="1"/>
    </row>
    <row r="4" spans="1:2">
      <c r="A4" s="1"/>
      <c r="B4" s="1" t="s">
        <v>30</v>
      </c>
    </row>
    <row r="5" spans="1:2">
      <c r="A5" s="1"/>
      <c r="B5" s="1" t="s">
        <v>31</v>
      </c>
    </row>
    <row r="6" spans="1:2">
      <c r="A6" s="1"/>
      <c r="B6" s="1" t="s">
        <v>32</v>
      </c>
    </row>
    <row r="7" spans="1:2">
      <c r="A7" s="1"/>
      <c r="B7" s="1" t="s">
        <v>33</v>
      </c>
    </row>
    <row r="9" spans="1:2">
      <c r="A9" s="1"/>
      <c r="B9" s="1" t="s">
        <v>34</v>
      </c>
    </row>
    <row r="10" spans="1:2">
      <c r="A10" s="1"/>
      <c r="B10" s="1" t="s">
        <v>35</v>
      </c>
    </row>
  </sheetData>
  <phoneticPr fontId="9" type="noConversion"/>
  <pageMargins left="1" right="0.5" top="0.5" bottom="0.55000000000000004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AP31"/>
  <sheetViews>
    <sheetView showGridLines="0" workbookViewId="0">
      <selection activeCell="C5" sqref="C5"/>
    </sheetView>
  </sheetViews>
  <sheetFormatPr defaultColWidth="9.77734375" defaultRowHeight="15"/>
  <cols>
    <col min="1" max="3" width="9.77734375" style="5"/>
    <col min="4" max="4" width="11.44140625" style="5" bestFit="1" customWidth="1"/>
    <col min="5" max="5" width="11.44140625" style="75" customWidth="1"/>
    <col min="6" max="7" width="10.77734375" style="5" customWidth="1"/>
    <col min="8" max="20" width="10.77734375" style="5" hidden="1" customWidth="1"/>
    <col min="21" max="21" width="10.77734375" style="5" customWidth="1"/>
    <col min="22" max="40" width="10.77734375" style="5" hidden="1" customWidth="1"/>
    <col min="41" max="41" width="10.77734375" style="5" customWidth="1"/>
    <col min="42" max="16384" width="9.77734375" style="5"/>
  </cols>
  <sheetData>
    <row r="1" spans="1:41" ht="17.25" customHeight="1">
      <c r="A1" s="127" t="s">
        <v>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</row>
    <row r="2" spans="1:41" ht="15.75" customHeight="1">
      <c r="A2" s="129" t="str">
        <f>+'Balance Sheet'!A3:H3</f>
        <v>December 31, 2011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</row>
    <row r="4" spans="1:41" ht="15.75">
      <c r="A4" s="5" t="s">
        <v>75</v>
      </c>
      <c r="C4" s="39">
        <v>14</v>
      </c>
    </row>
    <row r="5" spans="1:41" ht="15.75">
      <c r="A5" s="5" t="s">
        <v>76</v>
      </c>
      <c r="C5" s="86">
        <v>0.06</v>
      </c>
    </row>
    <row r="7" spans="1:41">
      <c r="A7" s="3"/>
      <c r="B7" s="3"/>
      <c r="C7" s="3"/>
      <c r="D7" s="3"/>
      <c r="E7" s="76"/>
      <c r="F7" s="3"/>
      <c r="G7" s="3"/>
    </row>
    <row r="8" spans="1:41" s="44" customFormat="1" ht="47.25">
      <c r="A8" s="131" t="s">
        <v>3</v>
      </c>
      <c r="B8" s="131"/>
      <c r="C8" s="131"/>
      <c r="D8" s="132"/>
      <c r="E8" s="78"/>
      <c r="F8" s="40" t="s">
        <v>74</v>
      </c>
      <c r="G8" s="41" t="s">
        <v>77</v>
      </c>
      <c r="H8" s="42" t="s">
        <v>101</v>
      </c>
      <c r="I8" s="43" t="s">
        <v>102</v>
      </c>
      <c r="J8" s="43" t="s">
        <v>103</v>
      </c>
      <c r="K8" s="43" t="s">
        <v>104</v>
      </c>
      <c r="L8" s="43" t="s">
        <v>105</v>
      </c>
      <c r="M8" s="43" t="s">
        <v>106</v>
      </c>
      <c r="N8" s="43" t="s">
        <v>107</v>
      </c>
      <c r="O8" s="43" t="s">
        <v>108</v>
      </c>
      <c r="P8" s="43" t="s">
        <v>109</v>
      </c>
      <c r="Q8" s="43" t="s">
        <v>110</v>
      </c>
      <c r="R8" s="43" t="s">
        <v>111</v>
      </c>
      <c r="S8" s="43" t="s">
        <v>112</v>
      </c>
      <c r="T8" s="43" t="s">
        <v>113</v>
      </c>
      <c r="U8" s="43" t="s">
        <v>114</v>
      </c>
      <c r="V8" s="48" t="s">
        <v>78</v>
      </c>
      <c r="W8" s="49" t="s">
        <v>79</v>
      </c>
      <c r="X8" s="49" t="s">
        <v>80</v>
      </c>
      <c r="Y8" s="49" t="s">
        <v>81</v>
      </c>
      <c r="Z8" s="49" t="s">
        <v>82</v>
      </c>
      <c r="AA8" s="49" t="s">
        <v>83</v>
      </c>
      <c r="AB8" s="49" t="s">
        <v>84</v>
      </c>
      <c r="AC8" s="49" t="s">
        <v>85</v>
      </c>
      <c r="AD8" s="49" t="s">
        <v>86</v>
      </c>
      <c r="AE8" s="49" t="s">
        <v>87</v>
      </c>
      <c r="AF8" s="49" t="s">
        <v>88</v>
      </c>
      <c r="AG8" s="49" t="s">
        <v>89</v>
      </c>
      <c r="AH8" s="49" t="s">
        <v>90</v>
      </c>
      <c r="AI8" s="49" t="s">
        <v>91</v>
      </c>
      <c r="AJ8" s="49" t="s">
        <v>92</v>
      </c>
      <c r="AK8" s="49" t="s">
        <v>93</v>
      </c>
      <c r="AL8" s="49" t="s">
        <v>94</v>
      </c>
      <c r="AM8" s="49" t="s">
        <v>95</v>
      </c>
      <c r="AN8" s="49" t="s">
        <v>96</v>
      </c>
      <c r="AO8" s="47" t="s">
        <v>97</v>
      </c>
    </row>
    <row r="9" spans="1:41" s="74" customFormat="1">
      <c r="A9" s="130" t="str">
        <f>+'Balance Sheet'!A18</f>
        <v xml:space="preserve">  Aim Constellation Fund</v>
      </c>
      <c r="B9" s="130"/>
      <c r="C9" s="130"/>
      <c r="D9" s="130"/>
      <c r="E9" s="77" t="s">
        <v>116</v>
      </c>
      <c r="F9" s="79">
        <f>+'Balance Sheet'!G18</f>
        <v>23636.19</v>
      </c>
      <c r="G9" s="71">
        <v>6000</v>
      </c>
      <c r="H9" s="72">
        <f t="shared" ref="H9:H20" si="0">(+F9+$G9)*(1+$C$5)</f>
        <v>31414.361400000002</v>
      </c>
      <c r="I9" s="72">
        <f>(+H9+$G9-H24)*(1+$C$5)</f>
        <v>39659.223084000005</v>
      </c>
      <c r="J9" s="72">
        <f t="shared" ref="J9:U9" si="1">(+I9+$G9-I24)*(1+$C$5)</f>
        <v>48398.776469040007</v>
      </c>
      <c r="K9" s="72">
        <f t="shared" si="1"/>
        <v>57662.703057182407</v>
      </c>
      <c r="L9" s="72">
        <f t="shared" si="1"/>
        <v>67482.465240613354</v>
      </c>
      <c r="M9" s="72">
        <f t="shared" si="1"/>
        <v>77891.413155050162</v>
      </c>
      <c r="N9" s="72">
        <f t="shared" si="1"/>
        <v>57124.897944353172</v>
      </c>
      <c r="O9" s="72">
        <f t="shared" si="1"/>
        <v>35112.39182101436</v>
      </c>
      <c r="P9" s="72">
        <f t="shared" si="1"/>
        <v>11779.135330275223</v>
      </c>
      <c r="Q9" s="72">
        <f t="shared" si="1"/>
        <v>-12954.116549908262</v>
      </c>
      <c r="R9" s="72">
        <f t="shared" si="1"/>
        <v>-7371.3635429027581</v>
      </c>
      <c r="S9" s="72">
        <f t="shared" si="1"/>
        <v>-1453.6453554769237</v>
      </c>
      <c r="T9" s="72">
        <f t="shared" si="1"/>
        <v>4819.1359231944616</v>
      </c>
      <c r="U9" s="72">
        <f t="shared" si="1"/>
        <v>11468.284078586132</v>
      </c>
      <c r="V9" s="73">
        <f>(+U9-U24)*(1+$C$5)</f>
        <v>12156.3811233013</v>
      </c>
      <c r="W9" s="73">
        <f t="shared" ref="W9:AO9" si="2">(+V9-V24)*(1+$C$5)</f>
        <v>12885.763990699379</v>
      </c>
      <c r="X9" s="73">
        <f t="shared" si="2"/>
        <v>13658.909830141343</v>
      </c>
      <c r="Y9" s="73">
        <f t="shared" si="2"/>
        <v>14478.444419949825</v>
      </c>
      <c r="Z9" s="73">
        <f t="shared" si="2"/>
        <v>15347.151085146816</v>
      </c>
      <c r="AA9" s="73">
        <f t="shared" si="2"/>
        <v>16267.980150255626</v>
      </c>
      <c r="AB9" s="73">
        <f t="shared" si="2"/>
        <v>17244.058959270966</v>
      </c>
      <c r="AC9" s="73">
        <f t="shared" si="2"/>
        <v>18278.702496827224</v>
      </c>
      <c r="AD9" s="73">
        <f t="shared" si="2"/>
        <v>19375.424646636857</v>
      </c>
      <c r="AE9" s="73">
        <f t="shared" si="2"/>
        <v>20537.950125435069</v>
      </c>
      <c r="AF9" s="73">
        <f t="shared" si="2"/>
        <v>21770.227132961176</v>
      </c>
      <c r="AG9" s="73">
        <f t="shared" si="2"/>
        <v>23076.440760938847</v>
      </c>
      <c r="AH9" s="73">
        <f t="shared" si="2"/>
        <v>-23238.972793404824</v>
      </c>
      <c r="AI9" s="73">
        <f t="shared" si="2"/>
        <v>-24633.311161009115</v>
      </c>
      <c r="AJ9" s="73">
        <f t="shared" si="2"/>
        <v>-26111.309830669663</v>
      </c>
      <c r="AK9" s="73">
        <f t="shared" si="2"/>
        <v>-27677.988420509842</v>
      </c>
      <c r="AL9" s="73">
        <f t="shared" si="2"/>
        <v>-29338.667725740434</v>
      </c>
      <c r="AM9" s="73">
        <f t="shared" si="2"/>
        <v>-31098.98778928486</v>
      </c>
      <c r="AN9" s="73">
        <f t="shared" si="2"/>
        <v>-32964.927056641951</v>
      </c>
      <c r="AO9" s="80">
        <f t="shared" si="2"/>
        <v>-34942.822680040466</v>
      </c>
    </row>
    <row r="10" spans="1:41" s="74" customFormat="1">
      <c r="A10" s="130" t="str">
        <f>+'Balance Sheet'!A19</f>
        <v xml:space="preserve">  Aim Global Growth</v>
      </c>
      <c r="B10" s="130"/>
      <c r="C10" s="130"/>
      <c r="D10" s="130"/>
      <c r="E10" s="77"/>
      <c r="F10" s="79">
        <f>+'Balance Sheet'!G19</f>
        <v>6493.08</v>
      </c>
      <c r="G10" s="71">
        <v>0</v>
      </c>
      <c r="H10" s="72">
        <f t="shared" si="0"/>
        <v>6882.6648000000005</v>
      </c>
      <c r="I10" s="72">
        <f t="shared" ref="I10:U10" si="3">(+H10+$G10)*(1+$C$5)</f>
        <v>7295.6246880000008</v>
      </c>
      <c r="J10" s="72">
        <f t="shared" si="3"/>
        <v>7733.3621692800016</v>
      </c>
      <c r="K10" s="72">
        <f t="shared" si="3"/>
        <v>8197.363899436803</v>
      </c>
      <c r="L10" s="72">
        <f t="shared" si="3"/>
        <v>8689.2057334030123</v>
      </c>
      <c r="M10" s="72">
        <f t="shared" si="3"/>
        <v>9210.5580774071932</v>
      </c>
      <c r="N10" s="72">
        <f t="shared" si="3"/>
        <v>9763.1915620516247</v>
      </c>
      <c r="O10" s="72">
        <f t="shared" si="3"/>
        <v>10348.983055774723</v>
      </c>
      <c r="P10" s="72">
        <f t="shared" si="3"/>
        <v>10969.922039121207</v>
      </c>
      <c r="Q10" s="72">
        <f t="shared" si="3"/>
        <v>11628.117361468481</v>
      </c>
      <c r="R10" s="72">
        <f t="shared" si="3"/>
        <v>12325.804403156591</v>
      </c>
      <c r="S10" s="72">
        <f t="shared" si="3"/>
        <v>13065.352667345987</v>
      </c>
      <c r="T10" s="72">
        <f t="shared" si="3"/>
        <v>13849.273827386747</v>
      </c>
      <c r="U10" s="72">
        <f t="shared" si="3"/>
        <v>14680.230257029953</v>
      </c>
      <c r="V10" s="73">
        <f t="shared" ref="V10:AK10" si="4">(+U10)*(1+$C$5)</f>
        <v>15561.04407245175</v>
      </c>
      <c r="W10" s="73">
        <f t="shared" si="4"/>
        <v>16494.706716798857</v>
      </c>
      <c r="X10" s="73">
        <f t="shared" si="4"/>
        <v>17484.38911980679</v>
      </c>
      <c r="Y10" s="73">
        <f t="shared" si="4"/>
        <v>18533.452466995197</v>
      </c>
      <c r="Z10" s="73">
        <f t="shared" si="4"/>
        <v>19645.459615014908</v>
      </c>
      <c r="AA10" s="73">
        <f t="shared" si="4"/>
        <v>20824.187191915804</v>
      </c>
      <c r="AB10" s="73">
        <f t="shared" si="4"/>
        <v>22073.638423430752</v>
      </c>
      <c r="AC10" s="73">
        <f t="shared" si="4"/>
        <v>23398.056728836596</v>
      </c>
      <c r="AD10" s="73">
        <f t="shared" si="4"/>
        <v>24801.940132566793</v>
      </c>
      <c r="AE10" s="73">
        <f t="shared" si="4"/>
        <v>26290.056540520804</v>
      </c>
      <c r="AF10" s="73">
        <f t="shared" si="4"/>
        <v>27867.459932952053</v>
      </c>
      <c r="AG10" s="73">
        <f t="shared" si="4"/>
        <v>29539.507528929178</v>
      </c>
      <c r="AH10" s="73">
        <f t="shared" si="4"/>
        <v>31311.877980664929</v>
      </c>
      <c r="AI10" s="73">
        <f t="shared" si="4"/>
        <v>33190.590659504829</v>
      </c>
      <c r="AJ10" s="73">
        <f t="shared" si="4"/>
        <v>35182.026099075119</v>
      </c>
      <c r="AK10" s="73">
        <f t="shared" si="4"/>
        <v>37292.94766501963</v>
      </c>
      <c r="AL10" s="73">
        <f t="shared" ref="W10:AO20" si="5">(+AK10)*(1+$C$5)</f>
        <v>39530.524524920809</v>
      </c>
      <c r="AM10" s="73">
        <f t="shared" si="5"/>
        <v>41902.355996416059</v>
      </c>
      <c r="AN10" s="73">
        <f t="shared" si="5"/>
        <v>44416.497356201027</v>
      </c>
      <c r="AO10" s="80">
        <f t="shared" si="5"/>
        <v>47081.487197573093</v>
      </c>
    </row>
    <row r="11" spans="1:41" s="74" customFormat="1">
      <c r="A11" s="130" t="str">
        <f>+'Balance Sheet'!A20</f>
        <v xml:space="preserve">  Aim Capital Development Fund</v>
      </c>
      <c r="B11" s="130"/>
      <c r="C11" s="130"/>
      <c r="D11" s="130"/>
      <c r="E11" s="77"/>
      <c r="F11" s="79">
        <f>+'Balance Sheet'!G20</f>
        <v>39061.54</v>
      </c>
      <c r="G11" s="71">
        <v>0</v>
      </c>
      <c r="H11" s="72">
        <f t="shared" si="0"/>
        <v>41405.232400000001</v>
      </c>
      <c r="I11" s="72">
        <f t="shared" ref="I11:U11" si="6">(+H11+$G11)*(1+$C$5)</f>
        <v>43889.546344000002</v>
      </c>
      <c r="J11" s="72">
        <f t="shared" si="6"/>
        <v>46522.919124640008</v>
      </c>
      <c r="K11" s="72">
        <f t="shared" si="6"/>
        <v>49314.294272118408</v>
      </c>
      <c r="L11" s="72">
        <f t="shared" si="6"/>
        <v>52273.151928445513</v>
      </c>
      <c r="M11" s="72">
        <f t="shared" si="6"/>
        <v>55409.541044152247</v>
      </c>
      <c r="N11" s="72">
        <f t="shared" si="6"/>
        <v>58734.113506801383</v>
      </c>
      <c r="O11" s="72">
        <f t="shared" si="6"/>
        <v>62258.160317209469</v>
      </c>
      <c r="P11" s="72">
        <f t="shared" si="6"/>
        <v>65993.649936242044</v>
      </c>
      <c r="Q11" s="72">
        <f t="shared" si="6"/>
        <v>69953.268932416569</v>
      </c>
      <c r="R11" s="72">
        <f t="shared" si="6"/>
        <v>74150.465068361562</v>
      </c>
      <c r="S11" s="72">
        <f t="shared" si="6"/>
        <v>78599.492972463253</v>
      </c>
      <c r="T11" s="72">
        <f t="shared" si="6"/>
        <v>83315.462550811048</v>
      </c>
      <c r="U11" s="72">
        <f t="shared" si="6"/>
        <v>88314.39030385972</v>
      </c>
      <c r="V11" s="73">
        <f>(+U11)*(1+$C$5)</f>
        <v>93613.253722091307</v>
      </c>
      <c r="W11" s="73">
        <f t="shared" si="5"/>
        <v>99230.048945416784</v>
      </c>
      <c r="X11" s="73">
        <f t="shared" si="5"/>
        <v>105183.8518821418</v>
      </c>
      <c r="Y11" s="73">
        <f t="shared" si="5"/>
        <v>111494.88299507031</v>
      </c>
      <c r="Z11" s="73">
        <f t="shared" si="5"/>
        <v>118184.57597477453</v>
      </c>
      <c r="AA11" s="73">
        <f t="shared" si="5"/>
        <v>125275.65053326101</v>
      </c>
      <c r="AB11" s="73">
        <f t="shared" si="5"/>
        <v>132792.18956525667</v>
      </c>
      <c r="AC11" s="73">
        <f t="shared" si="5"/>
        <v>140759.72093917208</v>
      </c>
      <c r="AD11" s="73">
        <f t="shared" si="5"/>
        <v>149205.30419552242</v>
      </c>
      <c r="AE11" s="73">
        <f t="shared" si="5"/>
        <v>158157.62244725376</v>
      </c>
      <c r="AF11" s="73">
        <f t="shared" si="5"/>
        <v>167647.07979408899</v>
      </c>
      <c r="AG11" s="73">
        <f t="shared" si="5"/>
        <v>177705.90458173433</v>
      </c>
      <c r="AH11" s="73">
        <f t="shared" si="5"/>
        <v>188368.25885663839</v>
      </c>
      <c r="AI11" s="73">
        <f t="shared" si="5"/>
        <v>199670.35438803671</v>
      </c>
      <c r="AJ11" s="73">
        <f t="shared" si="5"/>
        <v>211650.57565131891</v>
      </c>
      <c r="AK11" s="73">
        <f t="shared" si="5"/>
        <v>224349.61019039806</v>
      </c>
      <c r="AL11" s="73">
        <f t="shared" si="5"/>
        <v>237810.58680182195</v>
      </c>
      <c r="AM11" s="73">
        <f t="shared" si="5"/>
        <v>252079.22200993128</v>
      </c>
      <c r="AN11" s="73">
        <f t="shared" si="5"/>
        <v>267203.97533052717</v>
      </c>
      <c r="AO11" s="80">
        <f t="shared" si="5"/>
        <v>283236.21385035879</v>
      </c>
    </row>
    <row r="12" spans="1:41" s="74" customFormat="1">
      <c r="A12" s="130" t="str">
        <f>+'Balance Sheet'!A21</f>
        <v xml:space="preserve">  Putnam Growth &amp; Income</v>
      </c>
      <c r="B12" s="130"/>
      <c r="C12" s="130"/>
      <c r="D12" s="130"/>
      <c r="E12" s="77" t="s">
        <v>117</v>
      </c>
      <c r="F12" s="79">
        <f>+'Balance Sheet'!G21</f>
        <v>92082.760000000009</v>
      </c>
      <c r="G12" s="71">
        <v>0</v>
      </c>
      <c r="H12" s="72">
        <f t="shared" si="0"/>
        <v>97607.72560000002</v>
      </c>
      <c r="I12" s="72">
        <f>(+H12+$G12-H25)*(1+$C$5)</f>
        <v>103464.18913600003</v>
      </c>
      <c r="J12" s="72">
        <f t="shared" ref="J12:U12" si="7">(+I12+$G12-I25)*(1+$C$5)</f>
        <v>109672.04048416004</v>
      </c>
      <c r="K12" s="72">
        <f t="shared" si="7"/>
        <v>116252.36291320965</v>
      </c>
      <c r="L12" s="72">
        <f t="shared" si="7"/>
        <v>123227.50468800224</v>
      </c>
      <c r="M12" s="72">
        <f t="shared" si="7"/>
        <v>130621.15496928239</v>
      </c>
      <c r="N12" s="72">
        <f t="shared" si="7"/>
        <v>138458.42426743935</v>
      </c>
      <c r="O12" s="72">
        <f t="shared" si="7"/>
        <v>146765.92972348572</v>
      </c>
      <c r="P12" s="72">
        <f t="shared" si="7"/>
        <v>155571.88550689488</v>
      </c>
      <c r="Q12" s="72">
        <f t="shared" si="7"/>
        <v>164906.19863730858</v>
      </c>
      <c r="R12" s="72">
        <f t="shared" si="7"/>
        <v>174800.57055554711</v>
      </c>
      <c r="S12" s="72">
        <f t="shared" si="7"/>
        <v>185288.60478887995</v>
      </c>
      <c r="T12" s="72">
        <f t="shared" si="7"/>
        <v>196405.92107621275</v>
      </c>
      <c r="U12" s="72">
        <f t="shared" si="7"/>
        <v>176390.27634078552</v>
      </c>
      <c r="V12" s="73">
        <f>(+U12-U25)*(1+$C$5)</f>
        <v>155173.69292123266</v>
      </c>
      <c r="W12" s="73">
        <f t="shared" ref="W12:AO12" si="8">(+V12-V25)*(1+$C$5)</f>
        <v>132684.11449650663</v>
      </c>
      <c r="X12" s="73">
        <f t="shared" si="8"/>
        <v>108845.16136629703</v>
      </c>
      <c r="Y12" s="73">
        <f t="shared" si="8"/>
        <v>115375.87104827486</v>
      </c>
      <c r="Z12" s="73">
        <f t="shared" si="8"/>
        <v>122298.42331117135</v>
      </c>
      <c r="AA12" s="73">
        <f t="shared" si="8"/>
        <v>129636.32870984165</v>
      </c>
      <c r="AB12" s="73">
        <f t="shared" si="8"/>
        <v>137414.50843243217</v>
      </c>
      <c r="AC12" s="73">
        <f t="shared" si="8"/>
        <v>145659.3789383781</v>
      </c>
      <c r="AD12" s="73">
        <f t="shared" si="8"/>
        <v>154398.9416746808</v>
      </c>
      <c r="AE12" s="73">
        <f t="shared" si="8"/>
        <v>163662.87817516166</v>
      </c>
      <c r="AF12" s="73">
        <f t="shared" si="8"/>
        <v>173482.65086567137</v>
      </c>
      <c r="AG12" s="73">
        <f t="shared" si="8"/>
        <v>183891.60991761167</v>
      </c>
      <c r="AH12" s="73">
        <f t="shared" si="8"/>
        <v>194925.10651266837</v>
      </c>
      <c r="AI12" s="73">
        <f t="shared" si="8"/>
        <v>206620.61290342847</v>
      </c>
      <c r="AJ12" s="73">
        <f t="shared" si="8"/>
        <v>219017.84967763419</v>
      </c>
      <c r="AK12" s="73">
        <f t="shared" si="8"/>
        <v>232158.92065829225</v>
      </c>
      <c r="AL12" s="73">
        <f t="shared" si="8"/>
        <v>246088.4558977898</v>
      </c>
      <c r="AM12" s="73">
        <f t="shared" si="8"/>
        <v>186653.76325165719</v>
      </c>
      <c r="AN12" s="73">
        <f t="shared" si="8"/>
        <v>197852.98904675664</v>
      </c>
      <c r="AO12" s="80">
        <f t="shared" si="8"/>
        <v>209724.16838956205</v>
      </c>
    </row>
    <row r="13" spans="1:41" s="74" customFormat="1">
      <c r="A13" s="130" t="str">
        <f>+'Balance Sheet'!A39</f>
        <v xml:space="preserve">  NML - 401K Fund</v>
      </c>
      <c r="B13" s="130"/>
      <c r="C13" s="130"/>
      <c r="D13" s="130"/>
      <c r="E13" s="77"/>
      <c r="F13" s="79">
        <f>+'Balance Sheet'!G39</f>
        <v>167919.8</v>
      </c>
      <c r="G13" s="71">
        <f>6972+1743</f>
        <v>8715</v>
      </c>
      <c r="H13" s="72">
        <f t="shared" si="0"/>
        <v>187232.88800000001</v>
      </c>
      <c r="I13" s="72">
        <f t="shared" ref="I13:U13" si="9">(+H13+$G13)*(1+$C$5)</f>
        <v>207704.76128000001</v>
      </c>
      <c r="J13" s="72">
        <f t="shared" si="9"/>
        <v>229404.94695680001</v>
      </c>
      <c r="K13" s="72">
        <f t="shared" si="9"/>
        <v>252407.14377420803</v>
      </c>
      <c r="L13" s="72">
        <f t="shared" si="9"/>
        <v>276789.47240066051</v>
      </c>
      <c r="M13" s="72">
        <f t="shared" si="9"/>
        <v>302634.74074470013</v>
      </c>
      <c r="N13" s="72">
        <f t="shared" si="9"/>
        <v>330030.72518938215</v>
      </c>
      <c r="O13" s="72">
        <f t="shared" si="9"/>
        <v>359070.46870074508</v>
      </c>
      <c r="P13" s="72">
        <f t="shared" si="9"/>
        <v>389852.59682278981</v>
      </c>
      <c r="Q13" s="72">
        <f t="shared" si="9"/>
        <v>422481.6526321572</v>
      </c>
      <c r="R13" s="72">
        <f t="shared" si="9"/>
        <v>457068.45179008663</v>
      </c>
      <c r="S13" s="72">
        <f t="shared" si="9"/>
        <v>493730.45889749186</v>
      </c>
      <c r="T13" s="72">
        <f t="shared" si="9"/>
        <v>532592.18643134134</v>
      </c>
      <c r="U13" s="72">
        <f t="shared" si="9"/>
        <v>573785.6176172219</v>
      </c>
      <c r="V13" s="73">
        <f>(+U13)*(1+$C$5)</f>
        <v>608212.75467425527</v>
      </c>
      <c r="W13" s="73">
        <f t="shared" si="5"/>
        <v>644705.51995471062</v>
      </c>
      <c r="X13" s="73">
        <f t="shared" si="5"/>
        <v>683387.85115199327</v>
      </c>
      <c r="Y13" s="73">
        <f t="shared" si="5"/>
        <v>724391.12222111295</v>
      </c>
      <c r="Z13" s="73">
        <f t="shared" si="5"/>
        <v>767854.58955437981</v>
      </c>
      <c r="AA13" s="73">
        <f t="shared" si="5"/>
        <v>813925.86492764263</v>
      </c>
      <c r="AB13" s="73">
        <f t="shared" si="5"/>
        <v>862761.41682330123</v>
      </c>
      <c r="AC13" s="73">
        <f t="shared" si="5"/>
        <v>914527.10183269938</v>
      </c>
      <c r="AD13" s="73">
        <f t="shared" si="5"/>
        <v>969398.72794266138</v>
      </c>
      <c r="AE13" s="73">
        <f t="shared" si="5"/>
        <v>1027562.6516192211</v>
      </c>
      <c r="AF13" s="73">
        <f t="shared" si="5"/>
        <v>1089216.4107163744</v>
      </c>
      <c r="AG13" s="73">
        <f t="shared" si="5"/>
        <v>1154569.3953593569</v>
      </c>
      <c r="AH13" s="73">
        <f t="shared" si="5"/>
        <v>1223843.5590809183</v>
      </c>
      <c r="AI13" s="73">
        <f t="shared" si="5"/>
        <v>1297274.1726257736</v>
      </c>
      <c r="AJ13" s="73">
        <f t="shared" si="5"/>
        <v>1375110.6229833202</v>
      </c>
      <c r="AK13" s="73">
        <f t="shared" si="5"/>
        <v>1457617.2603623194</v>
      </c>
      <c r="AL13" s="73">
        <f t="shared" si="5"/>
        <v>1545074.2959840586</v>
      </c>
      <c r="AM13" s="73">
        <f t="shared" si="5"/>
        <v>1637778.7537431023</v>
      </c>
      <c r="AN13" s="73">
        <f t="shared" si="5"/>
        <v>1736045.4789676885</v>
      </c>
      <c r="AO13" s="80">
        <f t="shared" si="5"/>
        <v>1840208.2077057499</v>
      </c>
    </row>
    <row r="14" spans="1:41" s="74" customFormat="1" ht="30">
      <c r="A14" s="130" t="str">
        <f>+'Balance Sheet'!A40</f>
        <v xml:space="preserve">  SCJ Wax - 401K Fund (Deferred Profit Sharing and Savings Plan)</v>
      </c>
      <c r="B14" s="130"/>
      <c r="C14" s="130"/>
      <c r="D14" s="130"/>
      <c r="E14" s="77" t="s">
        <v>120</v>
      </c>
      <c r="F14" s="79">
        <f>+'Balance Sheet'!G40</f>
        <v>512683.33</v>
      </c>
      <c r="G14" s="71">
        <f>15000+8645.83</f>
        <v>23645.83</v>
      </c>
      <c r="H14" s="72">
        <f t="shared" si="0"/>
        <v>568508.90960000001</v>
      </c>
      <c r="I14" s="72">
        <f>(+H14+$G14-H26)*(1+$C$5)</f>
        <v>627684.02397600003</v>
      </c>
      <c r="J14" s="72">
        <f t="shared" ref="J14:U14" si="10">(+I14+$G14-I26)*(1+$C$5)</f>
        <v>690409.64521455998</v>
      </c>
      <c r="K14" s="72">
        <f t="shared" si="10"/>
        <v>756898.80372743355</v>
      </c>
      <c r="L14" s="72">
        <f t="shared" si="10"/>
        <v>827377.31175107951</v>
      </c>
      <c r="M14" s="72">
        <f t="shared" si="10"/>
        <v>902084.53025614424</v>
      </c>
      <c r="N14" s="72">
        <f t="shared" si="10"/>
        <v>981274.1818715129</v>
      </c>
      <c r="O14" s="72">
        <f t="shared" si="10"/>
        <v>1065215.2125838036</v>
      </c>
      <c r="P14" s="72">
        <f t="shared" si="10"/>
        <v>1154192.7051388319</v>
      </c>
      <c r="Q14" s="72">
        <f t="shared" si="10"/>
        <v>1248508.8472471619</v>
      </c>
      <c r="R14" s="72">
        <f t="shared" si="10"/>
        <v>1348483.9578819918</v>
      </c>
      <c r="S14" s="72">
        <f t="shared" si="10"/>
        <v>1454457.5751549115</v>
      </c>
      <c r="T14" s="72">
        <f t="shared" si="10"/>
        <v>1566789.6094642063</v>
      </c>
      <c r="U14" s="72">
        <f t="shared" si="10"/>
        <v>1685861.5658320589</v>
      </c>
      <c r="V14" s="73">
        <f>(+U14-U26)*(1+$C$5)</f>
        <v>1787013.2597819825</v>
      </c>
      <c r="W14" s="73">
        <f t="shared" ref="W14:AO14" si="11">(+V14-V26)*(1+$C$5)</f>
        <v>1788234.0553689015</v>
      </c>
      <c r="X14" s="73">
        <f t="shared" si="11"/>
        <v>1789528.0986910355</v>
      </c>
      <c r="Y14" s="73">
        <f t="shared" si="11"/>
        <v>1790899.7846124978</v>
      </c>
      <c r="Z14" s="73">
        <f t="shared" si="11"/>
        <v>1792353.7716892478</v>
      </c>
      <c r="AA14" s="73">
        <f t="shared" si="11"/>
        <v>1793894.9979906029</v>
      </c>
      <c r="AB14" s="73">
        <f t="shared" si="11"/>
        <v>1795528.6978700391</v>
      </c>
      <c r="AC14" s="73">
        <f t="shared" si="11"/>
        <v>1797260.4197422415</v>
      </c>
      <c r="AD14" s="73">
        <f t="shared" si="11"/>
        <v>1799096.0449267761</v>
      </c>
      <c r="AE14" s="73">
        <f t="shared" si="11"/>
        <v>1801041.8076223827</v>
      </c>
      <c r="AF14" s="73">
        <f t="shared" si="11"/>
        <v>1803104.3160797257</v>
      </c>
      <c r="AG14" s="73">
        <f t="shared" si="11"/>
        <v>1805290.5750445095</v>
      </c>
      <c r="AH14" s="73">
        <f t="shared" si="11"/>
        <v>1807608.0095471803</v>
      </c>
      <c r="AI14" s="73">
        <f t="shared" si="11"/>
        <v>1810064.4901200111</v>
      </c>
      <c r="AJ14" s="73">
        <f t="shared" si="11"/>
        <v>1812668.3595272119</v>
      </c>
      <c r="AK14" s="73">
        <f t="shared" si="11"/>
        <v>1815428.4610988447</v>
      </c>
      <c r="AL14" s="73">
        <f t="shared" si="11"/>
        <v>1818354.1687647754</v>
      </c>
      <c r="AM14" s="73">
        <f t="shared" si="11"/>
        <v>1821455.418890662</v>
      </c>
      <c r="AN14" s="73">
        <f t="shared" si="11"/>
        <v>1824742.7440241019</v>
      </c>
      <c r="AO14" s="80">
        <f t="shared" si="11"/>
        <v>1828227.308665548</v>
      </c>
    </row>
    <row r="15" spans="1:41" s="74" customFormat="1">
      <c r="A15" s="130" t="str">
        <f>+'Balance Sheet'!A41</f>
        <v xml:space="preserve">  SCJ Wax - Cash Balance Pension Plan</v>
      </c>
      <c r="B15" s="130"/>
      <c r="C15" s="130"/>
      <c r="D15" s="130"/>
      <c r="E15" s="77"/>
      <c r="F15" s="79">
        <f>+'Balance Sheet'!G41</f>
        <v>121518.96</v>
      </c>
      <c r="G15" s="71">
        <v>0</v>
      </c>
      <c r="H15" s="72">
        <f t="shared" si="0"/>
        <v>128810.09760000001</v>
      </c>
      <c r="I15" s="72">
        <f t="shared" ref="I15:U15" si="12">(+H15+$G15)*(1+$C$5)</f>
        <v>136538.70345600002</v>
      </c>
      <c r="J15" s="72">
        <f t="shared" si="12"/>
        <v>144731.02566336002</v>
      </c>
      <c r="K15" s="72">
        <f t="shared" si="12"/>
        <v>153414.88720316163</v>
      </c>
      <c r="L15" s="72">
        <f t="shared" si="12"/>
        <v>162619.78043535133</v>
      </c>
      <c r="M15" s="72">
        <f t="shared" si="12"/>
        <v>172376.96726147243</v>
      </c>
      <c r="N15" s="72">
        <f t="shared" si="12"/>
        <v>182719.58529716078</v>
      </c>
      <c r="O15" s="72">
        <f t="shared" si="12"/>
        <v>193682.76041499045</v>
      </c>
      <c r="P15" s="72">
        <f t="shared" si="12"/>
        <v>205303.72603988988</v>
      </c>
      <c r="Q15" s="72">
        <f t="shared" si="12"/>
        <v>217621.94960228328</v>
      </c>
      <c r="R15" s="72">
        <f t="shared" si="12"/>
        <v>230679.26657842027</v>
      </c>
      <c r="S15" s="72">
        <f t="shared" si="12"/>
        <v>244520.02257312549</v>
      </c>
      <c r="T15" s="72">
        <f t="shared" si="12"/>
        <v>259191.22392751303</v>
      </c>
      <c r="U15" s="72">
        <f t="shared" si="12"/>
        <v>274742.69736316381</v>
      </c>
      <c r="V15" s="73">
        <f t="shared" ref="V15:V20" si="13">(+U15)*(1+$C$5)</f>
        <v>291227.25920495368</v>
      </c>
      <c r="W15" s="73">
        <f t="shared" si="5"/>
        <v>308700.89475725091</v>
      </c>
      <c r="X15" s="73">
        <f t="shared" si="5"/>
        <v>327222.948442686</v>
      </c>
      <c r="Y15" s="73">
        <f t="shared" si="5"/>
        <v>346856.3253492472</v>
      </c>
      <c r="Z15" s="73">
        <f t="shared" si="5"/>
        <v>367667.70487020205</v>
      </c>
      <c r="AA15" s="73">
        <f t="shared" si="5"/>
        <v>389727.76716241421</v>
      </c>
      <c r="AB15" s="73">
        <f t="shared" si="5"/>
        <v>413111.43319215911</v>
      </c>
      <c r="AC15" s="73">
        <f t="shared" si="5"/>
        <v>437898.11918368866</v>
      </c>
      <c r="AD15" s="73">
        <f t="shared" si="5"/>
        <v>464172.00633470999</v>
      </c>
      <c r="AE15" s="73">
        <f t="shared" si="5"/>
        <v>492022.32671479264</v>
      </c>
      <c r="AF15" s="73">
        <f t="shared" si="5"/>
        <v>521543.66631768021</v>
      </c>
      <c r="AG15" s="73">
        <f t="shared" si="5"/>
        <v>552836.28629674111</v>
      </c>
      <c r="AH15" s="73">
        <f t="shared" si="5"/>
        <v>586006.46347454563</v>
      </c>
      <c r="AI15" s="73">
        <f t="shared" si="5"/>
        <v>621166.85128301836</v>
      </c>
      <c r="AJ15" s="73">
        <f t="shared" si="5"/>
        <v>658436.86235999945</v>
      </c>
      <c r="AK15" s="73">
        <f t="shared" si="5"/>
        <v>697943.0741015994</v>
      </c>
      <c r="AL15" s="73">
        <f t="shared" si="5"/>
        <v>739819.65854769538</v>
      </c>
      <c r="AM15" s="73">
        <f t="shared" si="5"/>
        <v>784208.83806055714</v>
      </c>
      <c r="AN15" s="73">
        <f t="shared" si="5"/>
        <v>831261.36834419065</v>
      </c>
      <c r="AO15" s="80">
        <f t="shared" si="5"/>
        <v>881137.05044484208</v>
      </c>
    </row>
    <row r="16" spans="1:41" s="74" customFormat="1">
      <c r="A16" s="130" t="str">
        <f>+'Balance Sheet'!A42</f>
        <v xml:space="preserve">  SCJ Wax - Retirement Medical Savings Account</v>
      </c>
      <c r="B16" s="130"/>
      <c r="C16" s="130"/>
      <c r="D16" s="130"/>
      <c r="E16" s="77"/>
      <c r="F16" s="79">
        <f>+'Balance Sheet'!G42</f>
        <v>71214.080000000002</v>
      </c>
      <c r="G16" s="71">
        <f>1000+400</f>
        <v>1400</v>
      </c>
      <c r="H16" s="72">
        <f t="shared" si="0"/>
        <v>76970.924800000008</v>
      </c>
      <c r="I16" s="72">
        <f t="shared" ref="I16:U16" si="14">(+H16+$G16)*(1+$C$5)</f>
        <v>83073.180288000018</v>
      </c>
      <c r="J16" s="72">
        <f t="shared" si="14"/>
        <v>89541.571105280018</v>
      </c>
      <c r="K16" s="72">
        <f t="shared" si="14"/>
        <v>96398.065371596822</v>
      </c>
      <c r="L16" s="72">
        <f t="shared" si="14"/>
        <v>103665.94929389264</v>
      </c>
      <c r="M16" s="72">
        <f t="shared" si="14"/>
        <v>111369.9062515262</v>
      </c>
      <c r="N16" s="72">
        <f t="shared" si="14"/>
        <v>119536.10062661779</v>
      </c>
      <c r="O16" s="72">
        <f t="shared" si="14"/>
        <v>128192.26666421485</v>
      </c>
      <c r="P16" s="72">
        <f t="shared" si="14"/>
        <v>137367.80266406774</v>
      </c>
      <c r="Q16" s="72">
        <f t="shared" si="14"/>
        <v>147093.87082391183</v>
      </c>
      <c r="R16" s="72">
        <f t="shared" si="14"/>
        <v>157403.50307334654</v>
      </c>
      <c r="S16" s="72">
        <f t="shared" si="14"/>
        <v>168331.71325774735</v>
      </c>
      <c r="T16" s="72">
        <f t="shared" si="14"/>
        <v>179915.6160532122</v>
      </c>
      <c r="U16" s="72">
        <f t="shared" si="14"/>
        <v>192194.55301640494</v>
      </c>
      <c r="V16" s="73">
        <f t="shared" si="13"/>
        <v>203726.22619738925</v>
      </c>
      <c r="W16" s="73">
        <f t="shared" si="5"/>
        <v>215949.7997692326</v>
      </c>
      <c r="X16" s="73">
        <f t="shared" si="5"/>
        <v>228906.78775538658</v>
      </c>
      <c r="Y16" s="73">
        <f t="shared" si="5"/>
        <v>242641.1950207098</v>
      </c>
      <c r="Z16" s="73">
        <f t="shared" si="5"/>
        <v>257199.66672195241</v>
      </c>
      <c r="AA16" s="73">
        <f t="shared" si="5"/>
        <v>272631.64672526956</v>
      </c>
      <c r="AB16" s="73">
        <f t="shared" si="5"/>
        <v>288989.54552878573</v>
      </c>
      <c r="AC16" s="73">
        <f t="shared" si="5"/>
        <v>306328.91826051287</v>
      </c>
      <c r="AD16" s="73">
        <f t="shared" si="5"/>
        <v>324708.65335614368</v>
      </c>
      <c r="AE16" s="73">
        <f t="shared" si="5"/>
        <v>344191.1725575123</v>
      </c>
      <c r="AF16" s="73">
        <f t="shared" si="5"/>
        <v>364842.64291096304</v>
      </c>
      <c r="AG16" s="73">
        <f t="shared" si="5"/>
        <v>386733.20148562087</v>
      </c>
      <c r="AH16" s="73">
        <f t="shared" si="5"/>
        <v>409937.19357475813</v>
      </c>
      <c r="AI16" s="73">
        <f t="shared" si="5"/>
        <v>434533.42518924363</v>
      </c>
      <c r="AJ16" s="73">
        <f t="shared" si="5"/>
        <v>460605.43070059828</v>
      </c>
      <c r="AK16" s="73">
        <f t="shared" si="5"/>
        <v>488241.75654263422</v>
      </c>
      <c r="AL16" s="73">
        <f t="shared" si="5"/>
        <v>517536.26193519228</v>
      </c>
      <c r="AM16" s="73">
        <f t="shared" si="5"/>
        <v>548588.43765130383</v>
      </c>
      <c r="AN16" s="73">
        <f t="shared" si="5"/>
        <v>581503.74391038204</v>
      </c>
      <c r="AO16" s="80">
        <f t="shared" si="5"/>
        <v>616393.96854500496</v>
      </c>
    </row>
    <row r="17" spans="1:42" s="74" customFormat="1">
      <c r="A17" s="130" t="str">
        <f>+'Balance Sheet'!A43</f>
        <v xml:space="preserve">  Johnson International - 401K Fund</v>
      </c>
      <c r="B17" s="130"/>
      <c r="C17" s="130"/>
      <c r="D17" s="130"/>
      <c r="E17" s="77"/>
      <c r="F17" s="79">
        <f>+'Balance Sheet'!G43</f>
        <v>37740.11</v>
      </c>
      <c r="G17" s="71">
        <v>0</v>
      </c>
      <c r="H17" s="72">
        <f t="shared" si="0"/>
        <v>40004.516600000003</v>
      </c>
      <c r="I17" s="72">
        <f t="shared" ref="I17:U17" si="15">(+H17+$G17)*(1+$C$5)</f>
        <v>42404.787596000002</v>
      </c>
      <c r="J17" s="72">
        <f t="shared" si="15"/>
        <v>44949.074851760008</v>
      </c>
      <c r="K17" s="72">
        <f t="shared" si="15"/>
        <v>47646.019342865613</v>
      </c>
      <c r="L17" s="72">
        <f t="shared" si="15"/>
        <v>50504.780503437549</v>
      </c>
      <c r="M17" s="72">
        <f t="shared" si="15"/>
        <v>53535.067333643805</v>
      </c>
      <c r="N17" s="72">
        <f t="shared" si="15"/>
        <v>56747.171373662437</v>
      </c>
      <c r="O17" s="72">
        <f t="shared" si="15"/>
        <v>60152.00165608219</v>
      </c>
      <c r="P17" s="72">
        <f t="shared" si="15"/>
        <v>63761.121755447122</v>
      </c>
      <c r="Q17" s="72">
        <f t="shared" si="15"/>
        <v>67586.789060773954</v>
      </c>
      <c r="R17" s="72">
        <f t="shared" si="15"/>
        <v>71641.996404420395</v>
      </c>
      <c r="S17" s="72">
        <f t="shared" si="15"/>
        <v>75940.516188685622</v>
      </c>
      <c r="T17" s="72">
        <f t="shared" si="15"/>
        <v>80496.947160006763</v>
      </c>
      <c r="U17" s="72">
        <f t="shared" si="15"/>
        <v>85326.763989607178</v>
      </c>
      <c r="V17" s="73">
        <f t="shared" si="13"/>
        <v>90446.369828983617</v>
      </c>
      <c r="W17" s="73">
        <f t="shared" si="5"/>
        <v>95873.152018722642</v>
      </c>
      <c r="X17" s="73">
        <f t="shared" si="5"/>
        <v>101625.541139846</v>
      </c>
      <c r="Y17" s="73">
        <f t="shared" si="5"/>
        <v>107723.07360823677</v>
      </c>
      <c r="Z17" s="73">
        <f t="shared" si="5"/>
        <v>114186.45802473098</v>
      </c>
      <c r="AA17" s="73">
        <f t="shared" si="5"/>
        <v>121037.64550621485</v>
      </c>
      <c r="AB17" s="73">
        <f t="shared" si="5"/>
        <v>128299.90423658774</v>
      </c>
      <c r="AC17" s="73">
        <f t="shared" si="5"/>
        <v>135997.898490783</v>
      </c>
      <c r="AD17" s="73">
        <f t="shared" si="5"/>
        <v>144157.77240022999</v>
      </c>
      <c r="AE17" s="73">
        <f t="shared" si="5"/>
        <v>152807.2387442438</v>
      </c>
      <c r="AF17" s="73">
        <f t="shared" si="5"/>
        <v>161975.67306889844</v>
      </c>
      <c r="AG17" s="73">
        <f t="shared" si="5"/>
        <v>171694.21345303237</v>
      </c>
      <c r="AH17" s="73">
        <f t="shared" si="5"/>
        <v>181995.86626021433</v>
      </c>
      <c r="AI17" s="73">
        <f t="shared" si="5"/>
        <v>192915.61823582719</v>
      </c>
      <c r="AJ17" s="73">
        <f t="shared" si="5"/>
        <v>204490.55532997684</v>
      </c>
      <c r="AK17" s="73">
        <f t="shared" si="5"/>
        <v>216759.98864977545</v>
      </c>
      <c r="AL17" s="73">
        <f t="shared" si="5"/>
        <v>229765.58796876197</v>
      </c>
      <c r="AM17" s="73">
        <f t="shared" si="5"/>
        <v>243551.52324688769</v>
      </c>
      <c r="AN17" s="73">
        <f t="shared" si="5"/>
        <v>258164.61464170096</v>
      </c>
      <c r="AO17" s="80">
        <f t="shared" si="5"/>
        <v>273654.49152020301</v>
      </c>
    </row>
    <row r="18" spans="1:42" s="74" customFormat="1">
      <c r="A18" s="130" t="str">
        <f>+'Balance Sheet'!A47</f>
        <v xml:space="preserve">  Excelon (948.956 Shares @ $43.5744)</v>
      </c>
      <c r="B18" s="130"/>
      <c r="C18" s="130"/>
      <c r="D18" s="130"/>
      <c r="E18" s="77"/>
      <c r="F18" s="79">
        <f>+'Balance Sheet'!G47</f>
        <v>41355.5</v>
      </c>
      <c r="G18" s="71">
        <v>0</v>
      </c>
      <c r="H18" s="72">
        <f t="shared" si="0"/>
        <v>43836.83</v>
      </c>
      <c r="I18" s="72">
        <f t="shared" ref="I18:U18" si="16">(+H18+$G18)*(1+$C$5)</f>
        <v>46467.039800000006</v>
      </c>
      <c r="J18" s="72">
        <f t="shared" si="16"/>
        <v>49255.062188000011</v>
      </c>
      <c r="K18" s="72">
        <f t="shared" si="16"/>
        <v>52210.365919280011</v>
      </c>
      <c r="L18" s="72">
        <f t="shared" si="16"/>
        <v>55342.987874436818</v>
      </c>
      <c r="M18" s="72">
        <f t="shared" si="16"/>
        <v>58663.567146903028</v>
      </c>
      <c r="N18" s="72">
        <f t="shared" si="16"/>
        <v>62183.381175717215</v>
      </c>
      <c r="O18" s="72">
        <f t="shared" si="16"/>
        <v>65914.384046260253</v>
      </c>
      <c r="P18" s="72">
        <f t="shared" si="16"/>
        <v>69869.247089035867</v>
      </c>
      <c r="Q18" s="72">
        <f t="shared" si="16"/>
        <v>74061.401914378017</v>
      </c>
      <c r="R18" s="72">
        <f t="shared" si="16"/>
        <v>78505.086029240701</v>
      </c>
      <c r="S18" s="72">
        <f t="shared" si="16"/>
        <v>83215.391190995142</v>
      </c>
      <c r="T18" s="72">
        <f t="shared" si="16"/>
        <v>88208.314662454854</v>
      </c>
      <c r="U18" s="72">
        <f t="shared" si="16"/>
        <v>93500.813542202144</v>
      </c>
      <c r="V18" s="73">
        <f t="shared" si="13"/>
        <v>99110.862354734272</v>
      </c>
      <c r="W18" s="73">
        <f t="shared" si="5"/>
        <v>105057.51409601833</v>
      </c>
      <c r="X18" s="73">
        <f t="shared" si="5"/>
        <v>111360.96494177944</v>
      </c>
      <c r="Y18" s="73">
        <f t="shared" si="5"/>
        <v>118042.62283828622</v>
      </c>
      <c r="Z18" s="73">
        <f t="shared" si="5"/>
        <v>125125.18020858339</v>
      </c>
      <c r="AA18" s="73">
        <f t="shared" si="5"/>
        <v>132632.69102109841</v>
      </c>
      <c r="AB18" s="73">
        <f t="shared" si="5"/>
        <v>140590.65248236433</v>
      </c>
      <c r="AC18" s="73">
        <f t="shared" si="5"/>
        <v>149026.09163130619</v>
      </c>
      <c r="AD18" s="73">
        <f t="shared" si="5"/>
        <v>157967.65712918458</v>
      </c>
      <c r="AE18" s="73">
        <f t="shared" si="5"/>
        <v>167445.71655693566</v>
      </c>
      <c r="AF18" s="73">
        <f t="shared" si="5"/>
        <v>177492.45955035181</v>
      </c>
      <c r="AG18" s="73">
        <f t="shared" si="5"/>
        <v>188142.00712337292</v>
      </c>
      <c r="AH18" s="73">
        <f t="shared" si="5"/>
        <v>199430.52755077532</v>
      </c>
      <c r="AI18" s="73">
        <f t="shared" si="5"/>
        <v>211396.35920382186</v>
      </c>
      <c r="AJ18" s="73">
        <f t="shared" si="5"/>
        <v>224080.14075605117</v>
      </c>
      <c r="AK18" s="73">
        <f t="shared" si="5"/>
        <v>237524.94920141425</v>
      </c>
      <c r="AL18" s="73">
        <f t="shared" si="5"/>
        <v>251776.4461534991</v>
      </c>
      <c r="AM18" s="73">
        <f t="shared" si="5"/>
        <v>266883.03292270907</v>
      </c>
      <c r="AN18" s="73">
        <f t="shared" si="5"/>
        <v>282896.01489807165</v>
      </c>
      <c r="AO18" s="80">
        <f t="shared" si="5"/>
        <v>299869.77579195594</v>
      </c>
    </row>
    <row r="19" spans="1:42" s="74" customFormat="1" ht="37.5" customHeight="1">
      <c r="A19" s="130" t="str">
        <f>+'Balance Sheet'!A48</f>
        <v xml:space="preserve">  Growth Fund of America - American Funds (44.608 Shares @ $28.73)</v>
      </c>
      <c r="B19" s="130"/>
      <c r="C19" s="130"/>
      <c r="D19" s="130"/>
      <c r="E19" s="77"/>
      <c r="F19" s="79">
        <f>+'Balance Sheet'!G48</f>
        <v>1281.5899999999999</v>
      </c>
      <c r="G19" s="71">
        <v>0</v>
      </c>
      <c r="H19" s="72">
        <f t="shared" si="0"/>
        <v>1358.4854</v>
      </c>
      <c r="I19" s="72">
        <f t="shared" ref="I19:U19" si="17">(+H19+$G19)*(1+$C$5)</f>
        <v>1439.9945240000002</v>
      </c>
      <c r="J19" s="72">
        <f t="shared" si="17"/>
        <v>1526.3941954400002</v>
      </c>
      <c r="K19" s="72">
        <f t="shared" si="17"/>
        <v>1617.9778471664004</v>
      </c>
      <c r="L19" s="72">
        <f t="shared" si="17"/>
        <v>1715.0565179963844</v>
      </c>
      <c r="M19" s="72">
        <f t="shared" si="17"/>
        <v>1817.9599090761676</v>
      </c>
      <c r="N19" s="72">
        <f t="shared" si="17"/>
        <v>1927.0375036207377</v>
      </c>
      <c r="O19" s="72">
        <f t="shared" si="17"/>
        <v>2042.659753837982</v>
      </c>
      <c r="P19" s="72">
        <f t="shared" si="17"/>
        <v>2165.219339068261</v>
      </c>
      <c r="Q19" s="72">
        <f t="shared" si="17"/>
        <v>2295.1324994123565</v>
      </c>
      <c r="R19" s="72">
        <f t="shared" si="17"/>
        <v>2432.8404493770981</v>
      </c>
      <c r="S19" s="72">
        <f t="shared" si="17"/>
        <v>2578.810876339724</v>
      </c>
      <c r="T19" s="72">
        <f t="shared" si="17"/>
        <v>2733.5395289201074</v>
      </c>
      <c r="U19" s="72">
        <f t="shared" si="17"/>
        <v>2897.5519006553141</v>
      </c>
      <c r="V19" s="73">
        <f t="shared" si="13"/>
        <v>3071.4050146946329</v>
      </c>
      <c r="W19" s="73">
        <f t="shared" si="5"/>
        <v>3255.6893155763109</v>
      </c>
      <c r="X19" s="73">
        <f t="shared" si="5"/>
        <v>3451.0306745108896</v>
      </c>
      <c r="Y19" s="73">
        <f t="shared" si="5"/>
        <v>3658.092514981543</v>
      </c>
      <c r="Z19" s="73">
        <f t="shared" si="5"/>
        <v>3877.5780658804356</v>
      </c>
      <c r="AA19" s="73">
        <f t="shared" si="5"/>
        <v>4110.2327498332616</v>
      </c>
      <c r="AB19" s="73">
        <f t="shared" si="5"/>
        <v>4356.8467148232576</v>
      </c>
      <c r="AC19" s="73">
        <f t="shared" si="5"/>
        <v>4618.2575177126537</v>
      </c>
      <c r="AD19" s="73">
        <f t="shared" si="5"/>
        <v>4895.3529687754135</v>
      </c>
      <c r="AE19" s="73">
        <f t="shared" si="5"/>
        <v>5189.0741469019385</v>
      </c>
      <c r="AF19" s="73">
        <f t="shared" si="5"/>
        <v>5500.4185957160553</v>
      </c>
      <c r="AG19" s="73">
        <f t="shared" si="5"/>
        <v>5830.4437114590191</v>
      </c>
      <c r="AH19" s="73">
        <f t="shared" si="5"/>
        <v>6180.2703341465603</v>
      </c>
      <c r="AI19" s="73">
        <f t="shared" si="5"/>
        <v>6551.0865541953544</v>
      </c>
      <c r="AJ19" s="73">
        <f t="shared" si="5"/>
        <v>6944.1517474470756</v>
      </c>
      <c r="AK19" s="73">
        <f t="shared" si="5"/>
        <v>7360.8008522939008</v>
      </c>
      <c r="AL19" s="73">
        <f t="shared" si="5"/>
        <v>7802.4489034315357</v>
      </c>
      <c r="AM19" s="73">
        <f t="shared" si="5"/>
        <v>8270.5958376374274</v>
      </c>
      <c r="AN19" s="73">
        <f t="shared" si="5"/>
        <v>8766.8315878956728</v>
      </c>
      <c r="AO19" s="80">
        <f t="shared" si="5"/>
        <v>9292.8414831694136</v>
      </c>
    </row>
    <row r="20" spans="1:42" s="74" customFormat="1" ht="37.5" customHeight="1">
      <c r="A20" s="130" t="str">
        <f>+'Balance Sheet'!A49</f>
        <v xml:space="preserve">  Income Fund of America - American Funds (189.364 Shares @ $27.09)</v>
      </c>
      <c r="B20" s="130"/>
      <c r="C20" s="130"/>
      <c r="D20" s="130"/>
      <c r="E20" s="77"/>
      <c r="F20" s="79">
        <f>+'Balance Sheet'!G49</f>
        <v>5129.87</v>
      </c>
      <c r="G20" s="71">
        <v>0</v>
      </c>
      <c r="H20" s="72">
        <f t="shared" si="0"/>
        <v>5437.6621999999998</v>
      </c>
      <c r="I20" s="72">
        <f t="shared" ref="I20:U20" si="18">(+H20+$G20)*(1+$C$5)</f>
        <v>5763.9219320000002</v>
      </c>
      <c r="J20" s="72">
        <f t="shared" si="18"/>
        <v>6109.7572479200007</v>
      </c>
      <c r="K20" s="72">
        <f t="shared" si="18"/>
        <v>6476.3426827952007</v>
      </c>
      <c r="L20" s="72">
        <f t="shared" si="18"/>
        <v>6864.9232437629134</v>
      </c>
      <c r="M20" s="72">
        <f t="shared" si="18"/>
        <v>7276.8186383886887</v>
      </c>
      <c r="N20" s="72">
        <f t="shared" si="18"/>
        <v>7713.42775669201</v>
      </c>
      <c r="O20" s="72">
        <f t="shared" si="18"/>
        <v>8176.2334220935309</v>
      </c>
      <c r="P20" s="72">
        <f t="shared" si="18"/>
        <v>8666.807427419144</v>
      </c>
      <c r="Q20" s="72">
        <f t="shared" si="18"/>
        <v>9186.8158730642936</v>
      </c>
      <c r="R20" s="72">
        <f t="shared" si="18"/>
        <v>9738.0248254481521</v>
      </c>
      <c r="S20" s="72">
        <f t="shared" si="18"/>
        <v>10322.306314975041</v>
      </c>
      <c r="T20" s="72">
        <f t="shared" si="18"/>
        <v>10941.644693873544</v>
      </c>
      <c r="U20" s="72">
        <f t="shared" si="18"/>
        <v>11598.143375505957</v>
      </c>
      <c r="V20" s="73">
        <f t="shared" si="13"/>
        <v>12294.031978036315</v>
      </c>
      <c r="W20" s="73">
        <f t="shared" si="5"/>
        <v>13031.673896718496</v>
      </c>
      <c r="X20" s="73">
        <f t="shared" si="5"/>
        <v>13813.574330521606</v>
      </c>
      <c r="Y20" s="73">
        <f t="shared" si="5"/>
        <v>14642.388790352903</v>
      </c>
      <c r="Z20" s="73">
        <f t="shared" si="5"/>
        <v>15520.932117774079</v>
      </c>
      <c r="AA20" s="73">
        <f t="shared" si="5"/>
        <v>16452.188044840525</v>
      </c>
      <c r="AB20" s="73">
        <f t="shared" si="5"/>
        <v>17439.319327530957</v>
      </c>
      <c r="AC20" s="73">
        <f t="shared" si="5"/>
        <v>18485.678487182817</v>
      </c>
      <c r="AD20" s="73">
        <f t="shared" si="5"/>
        <v>19594.819196413788</v>
      </c>
      <c r="AE20" s="73">
        <f t="shared" si="5"/>
        <v>20770.508348198615</v>
      </c>
      <c r="AF20" s="73">
        <f t="shared" si="5"/>
        <v>22016.738849090532</v>
      </c>
      <c r="AG20" s="73">
        <f t="shared" si="5"/>
        <v>23337.743180035966</v>
      </c>
      <c r="AH20" s="73">
        <f t="shared" si="5"/>
        <v>24738.007770838125</v>
      </c>
      <c r="AI20" s="73">
        <f t="shared" si="5"/>
        <v>26222.288237088414</v>
      </c>
      <c r="AJ20" s="73">
        <f t="shared" si="5"/>
        <v>27795.625531313719</v>
      </c>
      <c r="AK20" s="73">
        <f t="shared" si="5"/>
        <v>29463.363063192544</v>
      </c>
      <c r="AL20" s="73">
        <f t="shared" si="5"/>
        <v>31231.164846984098</v>
      </c>
      <c r="AM20" s="73">
        <f t="shared" si="5"/>
        <v>33105.034737803144</v>
      </c>
      <c r="AN20" s="73">
        <f t="shared" si="5"/>
        <v>35091.336822071331</v>
      </c>
      <c r="AO20" s="80">
        <f t="shared" si="5"/>
        <v>37196.817031395614</v>
      </c>
    </row>
    <row r="21" spans="1:42" s="38" customFormat="1" ht="15.75">
      <c r="A21" s="38" t="s">
        <v>100</v>
      </c>
      <c r="E21" s="46"/>
      <c r="F21" s="50">
        <f>+SUM(F9:F20)</f>
        <v>1120116.81</v>
      </c>
      <c r="G21" s="51">
        <f t="shared" ref="G21:V21" si="19">+SUM(G9:G20)</f>
        <v>39760.83</v>
      </c>
      <c r="H21" s="52">
        <f t="shared" si="19"/>
        <v>1229470.2983999997</v>
      </c>
      <c r="I21" s="52">
        <f t="shared" si="19"/>
        <v>1345384.9961039999</v>
      </c>
      <c r="J21" s="52">
        <f t="shared" si="19"/>
        <v>1468254.5756702397</v>
      </c>
      <c r="K21" s="52">
        <f t="shared" si="19"/>
        <v>1598496.3300104544</v>
      </c>
      <c r="L21" s="52">
        <f t="shared" si="19"/>
        <v>1736552.5896110819</v>
      </c>
      <c r="M21" s="52">
        <f t="shared" si="19"/>
        <v>1882892.2247877468</v>
      </c>
      <c r="N21" s="52">
        <f t="shared" si="19"/>
        <v>2006212.2380750116</v>
      </c>
      <c r="O21" s="52">
        <f t="shared" si="19"/>
        <v>2136931.4521595123</v>
      </c>
      <c r="P21" s="52">
        <f t="shared" si="19"/>
        <v>2275493.819089083</v>
      </c>
      <c r="Q21" s="52">
        <f t="shared" si="19"/>
        <v>2422369.9280344276</v>
      </c>
      <c r="R21" s="52">
        <f t="shared" si="19"/>
        <v>2609858.6035164939</v>
      </c>
      <c r="S21" s="52">
        <f t="shared" si="19"/>
        <v>2808596.5995274838</v>
      </c>
      <c r="T21" s="52">
        <f t="shared" si="19"/>
        <v>3019258.8752991334</v>
      </c>
      <c r="U21" s="53">
        <f t="shared" si="19"/>
        <v>3210760.8876170819</v>
      </c>
      <c r="V21" s="54">
        <f t="shared" si="19"/>
        <v>3371606.5408741073</v>
      </c>
      <c r="W21" s="54">
        <f t="shared" ref="W21:AO21" si="20">+SUM(W9:W20)</f>
        <v>3436102.9333265522</v>
      </c>
      <c r="X21" s="54">
        <f t="shared" si="20"/>
        <v>3504469.109326147</v>
      </c>
      <c r="Y21" s="54">
        <f t="shared" si="20"/>
        <v>3608737.2558857147</v>
      </c>
      <c r="Z21" s="54">
        <f t="shared" si="20"/>
        <v>3719261.491238859</v>
      </c>
      <c r="AA21" s="54">
        <f t="shared" si="20"/>
        <v>3836417.1807131902</v>
      </c>
      <c r="AB21" s="54">
        <f t="shared" si="20"/>
        <v>3960602.2115559815</v>
      </c>
      <c r="AC21" s="54">
        <f t="shared" si="20"/>
        <v>4092238.3442493412</v>
      </c>
      <c r="AD21" s="54">
        <f t="shared" si="20"/>
        <v>4231772.6449043024</v>
      </c>
      <c r="AE21" s="54">
        <f t="shared" si="20"/>
        <v>4379679.0035985606</v>
      </c>
      <c r="AF21" s="54">
        <f t="shared" si="20"/>
        <v>4536459.743814474</v>
      </c>
      <c r="AG21" s="54">
        <f t="shared" si="20"/>
        <v>4702647.328443341</v>
      </c>
      <c r="AH21" s="54">
        <f t="shared" si="20"/>
        <v>4831106.1681499444</v>
      </c>
      <c r="AI21" s="54">
        <f t="shared" si="20"/>
        <v>5014972.5382389417</v>
      </c>
      <c r="AJ21" s="54">
        <f t="shared" si="20"/>
        <v>5209870.8905332778</v>
      </c>
      <c r="AK21" s="54">
        <f t="shared" si="20"/>
        <v>5416463.143965275</v>
      </c>
      <c r="AL21" s="54">
        <f t="shared" si="20"/>
        <v>5635450.9326031897</v>
      </c>
      <c r="AM21" s="54">
        <f t="shared" si="20"/>
        <v>5793377.988559383</v>
      </c>
      <c r="AN21" s="54">
        <f t="shared" si="20"/>
        <v>6034980.6678729458</v>
      </c>
      <c r="AO21" s="81">
        <f t="shared" si="20"/>
        <v>6291079.5079453215</v>
      </c>
    </row>
    <row r="22" spans="1:42"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</row>
    <row r="23" spans="1:42" ht="15.75">
      <c r="A23" s="38" t="s">
        <v>98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82" t="s">
        <v>73</v>
      </c>
    </row>
    <row r="24" spans="1:42" ht="15.75">
      <c r="A24" s="5" t="s">
        <v>118</v>
      </c>
      <c r="F24" s="68"/>
      <c r="G24" s="68"/>
      <c r="H24" s="65"/>
      <c r="I24" s="56"/>
      <c r="J24" s="56"/>
      <c r="K24" s="56"/>
      <c r="L24" s="56"/>
      <c r="M24" s="56">
        <v>30000</v>
      </c>
      <c r="N24" s="56">
        <v>30000</v>
      </c>
      <c r="O24" s="56">
        <v>30000</v>
      </c>
      <c r="P24" s="56">
        <v>30000</v>
      </c>
      <c r="Q24" s="56"/>
      <c r="R24" s="56"/>
      <c r="S24" s="56"/>
      <c r="T24" s="56"/>
      <c r="U24" s="65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>
        <v>45000</v>
      </c>
      <c r="AH24" s="57"/>
      <c r="AI24" s="57"/>
      <c r="AJ24" s="57"/>
      <c r="AK24" s="57"/>
      <c r="AL24" s="57"/>
      <c r="AM24" s="57"/>
      <c r="AN24" s="57"/>
      <c r="AO24" s="58"/>
      <c r="AP24" s="84">
        <f>SUM(H24:AO24)</f>
        <v>165000</v>
      </c>
    </row>
    <row r="25" spans="1:42" ht="15.75">
      <c r="A25" s="5" t="s">
        <v>119</v>
      </c>
      <c r="F25" s="68"/>
      <c r="G25" s="68"/>
      <c r="H25" s="66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>
        <v>30000</v>
      </c>
      <c r="U25" s="66">
        <v>30000</v>
      </c>
      <c r="V25" s="59">
        <v>30000</v>
      </c>
      <c r="W25" s="59">
        <v>30000</v>
      </c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>
        <v>70000</v>
      </c>
      <c r="AM25" s="60"/>
      <c r="AN25" s="60"/>
      <c r="AO25" s="61"/>
      <c r="AP25" s="85">
        <f>SUM(H25:AO25)</f>
        <v>190000</v>
      </c>
    </row>
    <row r="26" spans="1:42" ht="15.75">
      <c r="A26" s="5" t="s">
        <v>99</v>
      </c>
      <c r="F26" s="68"/>
      <c r="G26" s="68"/>
      <c r="H26" s="66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6"/>
      <c r="V26" s="60">
        <v>100000</v>
      </c>
      <c r="W26" s="60">
        <v>100000</v>
      </c>
      <c r="X26" s="60">
        <v>100000</v>
      </c>
      <c r="Y26" s="60">
        <v>100000</v>
      </c>
      <c r="Z26" s="60">
        <v>100000</v>
      </c>
      <c r="AA26" s="60">
        <v>100000</v>
      </c>
      <c r="AB26" s="60">
        <v>100000</v>
      </c>
      <c r="AC26" s="60">
        <v>100000</v>
      </c>
      <c r="AD26" s="60">
        <v>100000</v>
      </c>
      <c r="AE26" s="60">
        <v>100000</v>
      </c>
      <c r="AF26" s="60">
        <v>100000</v>
      </c>
      <c r="AG26" s="60">
        <v>100000</v>
      </c>
      <c r="AH26" s="60">
        <v>100000</v>
      </c>
      <c r="AI26" s="60">
        <v>100000</v>
      </c>
      <c r="AJ26" s="60">
        <v>100000</v>
      </c>
      <c r="AK26" s="60">
        <v>100000</v>
      </c>
      <c r="AL26" s="60">
        <v>100000</v>
      </c>
      <c r="AM26" s="60">
        <v>100000</v>
      </c>
      <c r="AN26" s="60">
        <v>100000</v>
      </c>
      <c r="AO26" s="64">
        <v>100000</v>
      </c>
      <c r="AP26" s="85">
        <f>SUM(H26:AO26)</f>
        <v>2000000</v>
      </c>
    </row>
    <row r="27" spans="1:42" ht="15.75">
      <c r="A27" s="38" t="s">
        <v>115</v>
      </c>
      <c r="F27" s="69"/>
      <c r="G27" s="69"/>
      <c r="H27" s="67">
        <f t="shared" ref="H27:AP27" si="21">SUM(H24:H26)</f>
        <v>0</v>
      </c>
      <c r="I27" s="54">
        <f t="shared" si="21"/>
        <v>0</v>
      </c>
      <c r="J27" s="54">
        <f t="shared" si="21"/>
        <v>0</v>
      </c>
      <c r="K27" s="54">
        <f t="shared" si="21"/>
        <v>0</v>
      </c>
      <c r="L27" s="54">
        <f t="shared" si="21"/>
        <v>0</v>
      </c>
      <c r="M27" s="54">
        <f t="shared" si="21"/>
        <v>30000</v>
      </c>
      <c r="N27" s="54">
        <f t="shared" si="21"/>
        <v>30000</v>
      </c>
      <c r="O27" s="54">
        <f t="shared" si="21"/>
        <v>30000</v>
      </c>
      <c r="P27" s="54">
        <f t="shared" si="21"/>
        <v>30000</v>
      </c>
      <c r="Q27" s="54">
        <f t="shared" si="21"/>
        <v>0</v>
      </c>
      <c r="R27" s="54">
        <f t="shared" si="21"/>
        <v>0</v>
      </c>
      <c r="S27" s="54">
        <f t="shared" si="21"/>
        <v>0</v>
      </c>
      <c r="T27" s="54">
        <f t="shared" si="21"/>
        <v>30000</v>
      </c>
      <c r="U27" s="67">
        <f t="shared" si="21"/>
        <v>30000</v>
      </c>
      <c r="V27" s="62">
        <f t="shared" si="21"/>
        <v>130000</v>
      </c>
      <c r="W27" s="62">
        <f t="shared" si="21"/>
        <v>130000</v>
      </c>
      <c r="X27" s="62">
        <f t="shared" si="21"/>
        <v>100000</v>
      </c>
      <c r="Y27" s="62">
        <f t="shared" si="21"/>
        <v>100000</v>
      </c>
      <c r="Z27" s="62">
        <f t="shared" si="21"/>
        <v>100000</v>
      </c>
      <c r="AA27" s="62">
        <f t="shared" si="21"/>
        <v>100000</v>
      </c>
      <c r="AB27" s="62">
        <f t="shared" si="21"/>
        <v>100000</v>
      </c>
      <c r="AC27" s="62">
        <f t="shared" si="21"/>
        <v>100000</v>
      </c>
      <c r="AD27" s="62">
        <f t="shared" si="21"/>
        <v>100000</v>
      </c>
      <c r="AE27" s="62">
        <f t="shared" si="21"/>
        <v>100000</v>
      </c>
      <c r="AF27" s="62">
        <f t="shared" si="21"/>
        <v>100000</v>
      </c>
      <c r="AG27" s="62">
        <f t="shared" si="21"/>
        <v>145000</v>
      </c>
      <c r="AH27" s="62">
        <f t="shared" si="21"/>
        <v>100000</v>
      </c>
      <c r="AI27" s="62">
        <f t="shared" si="21"/>
        <v>100000</v>
      </c>
      <c r="AJ27" s="62">
        <f t="shared" si="21"/>
        <v>100000</v>
      </c>
      <c r="AK27" s="62">
        <f t="shared" si="21"/>
        <v>100000</v>
      </c>
      <c r="AL27" s="62">
        <f t="shared" si="21"/>
        <v>170000</v>
      </c>
      <c r="AM27" s="62">
        <f t="shared" si="21"/>
        <v>100000</v>
      </c>
      <c r="AN27" s="62">
        <f t="shared" si="21"/>
        <v>100000</v>
      </c>
      <c r="AO27" s="63">
        <f t="shared" si="21"/>
        <v>100000</v>
      </c>
      <c r="AP27" s="83">
        <f t="shared" si="21"/>
        <v>2355000</v>
      </c>
    </row>
    <row r="28" spans="1:42">
      <c r="F28" s="70"/>
      <c r="G28" s="70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45"/>
      <c r="W28" s="45"/>
      <c r="X28" s="45"/>
    </row>
    <row r="29" spans="1:42">
      <c r="F29" s="8"/>
      <c r="G29" s="8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45"/>
      <c r="W29" s="45"/>
      <c r="X29" s="45"/>
    </row>
    <row r="30" spans="1:42">
      <c r="F30" s="8"/>
      <c r="G30" s="8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45"/>
      <c r="W30" s="45"/>
      <c r="X30" s="45"/>
    </row>
    <row r="31" spans="1:42">
      <c r="F31" s="29"/>
      <c r="G31" s="8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</sheetData>
  <mergeCells count="15">
    <mergeCell ref="A19:D19"/>
    <mergeCell ref="A20:D20"/>
    <mergeCell ref="A8:D8"/>
    <mergeCell ref="A1:AO1"/>
    <mergeCell ref="A2:AO2"/>
    <mergeCell ref="A15:D15"/>
    <mergeCell ref="A16:D16"/>
    <mergeCell ref="A17:D17"/>
    <mergeCell ref="A18:D18"/>
    <mergeCell ref="A11:D11"/>
    <mergeCell ref="A12:D12"/>
    <mergeCell ref="A13:D13"/>
    <mergeCell ref="A14:D14"/>
    <mergeCell ref="A9:D9"/>
    <mergeCell ref="A10:D10"/>
  </mergeCells>
  <phoneticPr fontId="9" type="noConversion"/>
  <printOptions horizontalCentered="1" verticalCentered="1"/>
  <pageMargins left="0" right="0" top="0" bottom="0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Budget</vt:lpstr>
      <vt:lpstr>Balance Sheet</vt:lpstr>
      <vt:lpstr>Notes</vt:lpstr>
      <vt:lpstr>Projection</vt:lpstr>
      <vt:lpstr>Projection!BALANCE</vt:lpstr>
      <vt:lpstr>BALANCE</vt:lpstr>
      <vt:lpstr>NOTES</vt:lpstr>
      <vt:lpstr>Projection!Print_Area</vt:lpstr>
      <vt:lpstr>Print_Area</vt:lpstr>
    </vt:vector>
  </TitlesOfParts>
  <Company>S.C. Johnson Wax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</cp:lastModifiedBy>
  <cp:lastPrinted>2012-02-12T23:21:52Z</cp:lastPrinted>
  <dcterms:created xsi:type="dcterms:W3CDTF">2000-01-14T23:39:04Z</dcterms:created>
  <dcterms:modified xsi:type="dcterms:W3CDTF">2012-02-12T23:23:04Z</dcterms:modified>
</cp:coreProperties>
</file>